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ate1904="1" updateLinks="never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parzung\2 Aktiv\01 Produkte\1 Excel Lösungen\1 Applikationen\IK Individuell für Kunden\UZH\Arbeitszeiterfassung 2022\"/>
    </mc:Choice>
  </mc:AlternateContent>
  <xr:revisionPtr revIDLastSave="0" documentId="13_ncr:1_{CCF74EFD-4D5A-4C48-ADDD-FE1A370CDC10}" xr6:coauthVersionLast="47" xr6:coauthVersionMax="47" xr10:uidLastSave="{00000000-0000-0000-0000-000000000000}"/>
  <bookViews>
    <workbookView xWindow="-120" yWindow="-120" windowWidth="29040" windowHeight="15990" tabRatio="798" xr2:uid="{00000000-000D-0000-FFFF-FFFF00000000}"/>
  </bookViews>
  <sheets>
    <sheet name="Eingabeblatt" sheetId="1" r:id="rId1"/>
    <sheet name="Januar" sheetId="444" r:id="rId2"/>
    <sheet name="Februar" sheetId="445" r:id="rId3"/>
    <sheet name="März" sheetId="446" r:id="rId4"/>
    <sheet name="April" sheetId="447" r:id="rId5"/>
    <sheet name="Mai" sheetId="448" r:id="rId6"/>
    <sheet name="Juni" sheetId="449" r:id="rId7"/>
    <sheet name="Juli" sheetId="450" r:id="rId8"/>
    <sheet name="August" sheetId="451" r:id="rId9"/>
    <sheet name="September" sheetId="452" r:id="rId10"/>
    <sheet name="Oktober" sheetId="453" r:id="rId11"/>
    <sheet name="November" sheetId="454" r:id="rId12"/>
    <sheet name="Dezember" sheetId="455" r:id="rId13"/>
    <sheet name="Jahresabrechnung" sheetId="15" r:id="rId14"/>
    <sheet name="Projektübersicht" sheetId="27" r:id="rId15"/>
    <sheet name="Projektübersicht-E+Q" sheetId="28" r:id="rId16"/>
    <sheet name="Tabellen" sheetId="31" r:id="rId17"/>
  </sheets>
  <definedNames>
    <definedName name="_xlnm.Print_Area" localSheetId="4">April!$A$1:$AP$124</definedName>
    <definedName name="_xlnm.Print_Area" localSheetId="8">August!$A$1:$AQ$124</definedName>
    <definedName name="_xlnm.Print_Area" localSheetId="12">Dezember!$A$1:$AQ$124</definedName>
    <definedName name="_xlnm.Print_Area" localSheetId="0">Eingabeblatt!$A$1:$N$47</definedName>
    <definedName name="_xlnm.Print_Area" localSheetId="2">Februar!$A$1:$AN$124</definedName>
    <definedName name="_xlnm.Print_Area" localSheetId="13">Jahresabrechnung!$A$1:$AO$36</definedName>
    <definedName name="_xlnm.Print_Area" localSheetId="1">Januar!$A$1:$AQ$124</definedName>
    <definedName name="_xlnm.Print_Area" localSheetId="7">Juli!$A$1:$AQ$124</definedName>
    <definedName name="_xlnm.Print_Area" localSheetId="6">Juni!$A$1:$AP$124</definedName>
    <definedName name="_xlnm.Print_Area" localSheetId="5">Mai!$A$1:$AQ$124</definedName>
    <definedName name="_xlnm.Print_Area" localSheetId="3">März!$A$1:$AQ$124</definedName>
    <definedName name="_xlnm.Print_Area" localSheetId="11">November!$A$1:$AP$124</definedName>
    <definedName name="_xlnm.Print_Area" localSheetId="10">Oktober!$A$1:$AQ$124</definedName>
    <definedName name="_xlnm.Print_Area" localSheetId="14">Projektübersicht!$A$1:$U$39</definedName>
    <definedName name="_xlnm.Print_Area" localSheetId="15">'Projektübersicht-E+Q'!$A$1:$AH$38</definedName>
    <definedName name="_xlnm.Print_Area" localSheetId="9">September!$A$1:$AP$124</definedName>
    <definedName name="EB.Anpassungszeitpunkt">Eingabeblatt!$B$53</definedName>
    <definedName name="EB.Anwendung">Eingabeblatt!$A$7</definedName>
    <definedName name="EB.AnzMonate">Eingabeblatt!$R$25</definedName>
    <definedName name="EB.AnzProjekte">Eingabeblatt!$H$29</definedName>
    <definedName name="EB.AZS">Eingabeblatt!$E$36</definedName>
    <definedName name="EB.AZSOLLMonat100.Bereich">Eingabeblatt!$B$13:$B$24</definedName>
    <definedName name="EB.AZSOLLTag100.Bereich">Eingabeblatt!$D$13:$D$24</definedName>
    <definedName name="EB.BG">Eingabeblatt!$L$7</definedName>
    <definedName name="EB.BG_Total">Eingabeblatt!$H$25</definedName>
    <definedName name="EB.DAG">Eingabeblatt!$E$32</definedName>
    <definedName name="EB.DAGber">Eingabeblatt!$O$32</definedName>
    <definedName name="EB.DurchSollTAZStd.Bereich">Eingabeblatt!$J$13:$J$24</definedName>
    <definedName name="EB.EffBG.Bereich">Eingabeblatt!$H$13:$H$24</definedName>
    <definedName name="EB.EffBG.Knoten">Eingabeblatt!$H$12</definedName>
    <definedName name="EB.Fakultaet">Eingabeblatt!$I$4</definedName>
    <definedName name="EB.Ferien">Eingabeblatt!$E$33</definedName>
    <definedName name="EB.FerienBer">Eingabeblatt!$O$33</definedName>
    <definedName name="EB.FerienSollJahr100">Eingabeblatt!$E$25</definedName>
    <definedName name="EB.Frei_Stunden">Eingabeblatt!$E$34</definedName>
    <definedName name="EB.Funktion">Eingabeblatt!$I$2</definedName>
    <definedName name="EB.Geburtsdatum">Eingabeblatt!$B$4</definedName>
    <definedName name="EB.Geburtsjahr">Eingabeblatt!$F$4</definedName>
    <definedName name="EB.Institut">Eingabeblatt!$I$3</definedName>
    <definedName name="EB.Jahr">Eingabeblatt!$F$1</definedName>
    <definedName name="EB.Kom">Eingabeblatt!$E$35</definedName>
    <definedName name="EB.Lernender">Eingabeblatt!$I$6</definedName>
    <definedName name="EB.LKgr16">Eingabeblatt!$E$5</definedName>
    <definedName name="EB.LKgr16ab">Eingabeblatt!$F$5</definedName>
    <definedName name="EB.MFAStd.Knoten">Eingabeblatt!$K$12</definedName>
    <definedName name="EB.MKAStd.Knoten">Eingabeblatt!$L$12</definedName>
    <definedName name="EB.MMS">Eingabeblatt!$E$29</definedName>
    <definedName name="EB.Monate.Bereich">Eingabeblatt!$A$13:$A$24</definedName>
    <definedName name="EB.Name">Eingabeblatt!$B$3</definedName>
    <definedName name="EB.Personalkategorie">Eingabeblatt!$I$5</definedName>
    <definedName name="EB.Personalnummer">Eingabeblatt!$B$5</definedName>
    <definedName name="EB.Projektart.Bereich">Eingabeblatt!$I$31:$I$45</definedName>
    <definedName name="EB.Projektart.Knoten">Eingabeblatt!$I$30</definedName>
    <definedName name="EB.Projekte.Bereich">OFFSET(EB.Projekte.Knoten,1,0,EB.AnzProjekte,1)</definedName>
    <definedName name="EB.Projekte.ganzerBereich">OFFSET(EB.Projekte.Knoten,1,0,EB.AnzProjekte,6)</definedName>
    <definedName name="EB.Projekte.Knoten">Eingabeblatt!$H$30</definedName>
    <definedName name="EB.Projekte.RahmenBereich">Eingabeblatt!$H$31:$H$45</definedName>
    <definedName name="EB.RAZ_Wochentage.Bereich">Eingabeblatt!$A$39:$A$45</definedName>
    <definedName name="EB.RAZ1_7.Bereich">Eingabeblatt!$B$39:$B$45</definedName>
    <definedName name="EB.SollAZJahr100">Eingabeblatt!$B$25</definedName>
    <definedName name="EB.Sprache">Eingabeblatt!$N$1</definedName>
    <definedName name="EB.Tag1">Eingabeblatt!$B$2</definedName>
    <definedName name="EB.UeZ">Eingabeblatt!$E$30</definedName>
    <definedName name="EB.UJAustritt">Eingabeblatt!$F$6</definedName>
    <definedName name="EB.UJEintritt">Eingabeblatt!$B$6</definedName>
    <definedName name="EB.ÜVMMS">Eingabeblatt!$O$29</definedName>
    <definedName name="EB.ÜZZSBerechtigt">Eingabeblatt!$L$6</definedName>
    <definedName name="EB.Version">Eingabeblatt!$M$1</definedName>
    <definedName name="EB.WeitereAngaben">Eingabeblatt!$E$7</definedName>
    <definedName name="EB.Wochenarbeitszeit">Eingabeblatt!$I$7</definedName>
    <definedName name="EB.ZZNd">Eingabeblatt!$O$31</definedName>
    <definedName name="FieldtoSelect" localSheetId="4">April!$B$13</definedName>
    <definedName name="FieldtoSelect" localSheetId="8">August!$B$13</definedName>
    <definedName name="FieldtoSelect" localSheetId="12">Dezember!$B$13</definedName>
    <definedName name="FieldtoSelect" localSheetId="0">Eingabeblatt!$B$3</definedName>
    <definedName name="FieldtoSelect" localSheetId="2">Februar!$B$13</definedName>
    <definedName name="FieldtoSelect" localSheetId="13">Jahresabrechnung!$A$1</definedName>
    <definedName name="FieldtoSelect" localSheetId="1">Januar!$B$13</definedName>
    <definedName name="FieldtoSelect" localSheetId="7">Juli!$B$13</definedName>
    <definedName name="FieldtoSelect" localSheetId="6">Juni!$B$13</definedName>
    <definedName name="FieldtoSelect" localSheetId="5">Mai!$B$13</definedName>
    <definedName name="FieldtoSelect" localSheetId="3">März!$B$13</definedName>
    <definedName name="FieldtoSelect" localSheetId="11">November!$B$13</definedName>
    <definedName name="FieldtoSelect" localSheetId="10">Oktober!$B$13</definedName>
    <definedName name="FieldtoSelect" localSheetId="14">Projektübersicht!$A$1</definedName>
    <definedName name="FieldtoSelect" localSheetId="15">'Projektübersicht-E+Q'!$E$1</definedName>
    <definedName name="FieldtoSelect" localSheetId="9">September!$B$13</definedName>
    <definedName name="FieldtoSelect" localSheetId="16">Tabellen!$A$2</definedName>
    <definedName name="J.AZSaldo.Total">Jahresabrechnung!$F$27</definedName>
    <definedName name="J.Ferien.Total">Jahresabrechnung!$AC$27</definedName>
    <definedName name="J.FerienUE.Total">Jahresabrechnung!$AC$29</definedName>
    <definedName name="J.KomAZ.Total">Jahresabrechnung!$P$27</definedName>
    <definedName name="J.MMSUE.Total">Jahresabrechnung!$O$29</definedName>
    <definedName name="J.UeZ.Total">Jahresabrechnung!$M$27</definedName>
    <definedName name="Jahr.Abendarbeit.Total">Jahresabrechnung!$Y$27</definedName>
    <definedName name="Jahr.AngÜZ">Jahresabrechnung!$I$27</definedName>
    <definedName name="Jahr.AnzahlPiketttage.Total">Jahresabrechnung!$R$27</definedName>
    <definedName name="Jahr.Arzt.Total">Jahresabrechnung!$AD$27</definedName>
    <definedName name="Jahr.AZ.Total">Jahresabrechnung!$C$27</definedName>
    <definedName name="Jahr.BD.Total">Jahresabrechnung!$Z$27</definedName>
    <definedName name="Jahr.BesUrlaub.Total">Jahresabrechnung!$AJ$27</definedName>
    <definedName name="Jahr.BG.Total">Jahresabrechnung!$D$27</definedName>
    <definedName name="Jahr.BU.Total">Jahresabrechnung!$AF$27</definedName>
    <definedName name="Jahr.DAG.Total">Jahresabrechnung!$AM$27</definedName>
    <definedName name="Jahr.DAGUE.Total">Jahresabrechnung!$AM$29</definedName>
    <definedName name="Jahr.ein_aus.Total">Jahresabrechnung!$AO$27</definedName>
    <definedName name="Jahr.ein_aus_Pikett.Total">Jahresabrechnung!$S$27</definedName>
    <definedName name="Jahr.KompZZSND">Jahresabrechnung!$W$27</definedName>
    <definedName name="Jahr.KomUeZ.Total">Jahresabrechnung!$J$27</definedName>
    <definedName name="Jahr.Krank.Total">Jahresabrechnung!$AE$27</definedName>
    <definedName name="Jahr.MZS.Total">Jahresabrechnung!$AH$27</definedName>
    <definedName name="Jahr.NB.Total">Jahresabrechnung!$AL$27</definedName>
    <definedName name="Jahr.NBU.Total">Jahresabrechnung!$AG$27</definedName>
    <definedName name="Jahr.ND.Total">Jahresabrechnung!$T$27</definedName>
    <definedName name="Jahr.SD.Total">Jahresabrechnung!$AA$27</definedName>
    <definedName name="Jahr.SollAZNetto.Total">Jahresabrechnung!$E$27</definedName>
    <definedName name="Jahr.UeziZSUE.Total">Jahresabrechnung!$M$29</definedName>
    <definedName name="Jahr.UeZSaldo.Total">Jahresabrechnung!$K$27</definedName>
    <definedName name="Jahr.UnbesUrlaub.Total">Jahresabrechnung!$AK$27</definedName>
    <definedName name="Jahr.ÜZZSBerechtigt.Total">Jahresabrechnung!$L$27</definedName>
    <definedName name="Jahr.WB.Total">Jahresabrechnung!$AI$27</definedName>
    <definedName name="Jahr.ZählerND.Total">Jahresabrechnung!$U$27</definedName>
    <definedName name="Jahr.ZZSND.Total">Jahresabrechnung!$V$27</definedName>
    <definedName name="Jahr.ZZSNDSaldo">Jahresabrechnung!$X$27</definedName>
    <definedName name="Jahr.ZZSNDSaldoUE.Total">Jahresabrechnung!$X$29</definedName>
    <definedName name="Monat.AAUeVM" localSheetId="4">April!$AM$80</definedName>
    <definedName name="Monat.AAUeVM" localSheetId="8">August!$AN$80</definedName>
    <definedName name="Monat.AAUeVM" localSheetId="12">Dezember!$AN$80</definedName>
    <definedName name="Monat.AAUeVM" localSheetId="2">Februar!$AK$80</definedName>
    <definedName name="Monat.AAUeVM" localSheetId="1">Januar!$AN$80</definedName>
    <definedName name="Monat.AAUeVM" localSheetId="7">Juli!$AN$80</definedName>
    <definedName name="Monat.AAUeVM" localSheetId="6">Juni!$AM$80</definedName>
    <definedName name="Monat.AAUeVM" localSheetId="5">Mai!$AN$80</definedName>
    <definedName name="Monat.AAUeVM" localSheetId="3">März!$AN$80</definedName>
    <definedName name="Monat.AAUeVM" localSheetId="11">November!$AM$80</definedName>
    <definedName name="Monat.AAUeVM" localSheetId="10">Oktober!$AN$80</definedName>
    <definedName name="Monat.AAUeVM" localSheetId="9">September!$AM$80</definedName>
    <definedName name="Monat.AB.Total" localSheetId="4">April!$AH$86</definedName>
    <definedName name="Monat.AB.Total" localSheetId="8">August!$AI$86</definedName>
    <definedName name="Monat.AB.Total" localSheetId="12">Dezember!$AI$86</definedName>
    <definedName name="Monat.AB.Total" localSheetId="2">Februar!$AF$86</definedName>
    <definedName name="Monat.AB.Total" localSheetId="1">Januar!$AI$86</definedName>
    <definedName name="Monat.AB.Total" localSheetId="7">Juli!$AI$86</definedName>
    <definedName name="Monat.AB.Total" localSheetId="6">Juni!$AH$86</definedName>
    <definedName name="Monat.AB.Total" localSheetId="5">Mai!$AI$86</definedName>
    <definedName name="Monat.AB.Total" localSheetId="3">März!$AI$86</definedName>
    <definedName name="Monat.AB.Total" localSheetId="11">November!$AH$86</definedName>
    <definedName name="Monat.AB.Total" localSheetId="10">Oktober!$AI$86</definedName>
    <definedName name="Monat.AB.Total" localSheetId="9">September!$AH$86</definedName>
    <definedName name="Monat.Abendarbeit.Total" localSheetId="4">April!$AH$80</definedName>
    <definedName name="Monat.Abendarbeit.Total" localSheetId="8">August!$AI$80</definedName>
    <definedName name="Monat.Abendarbeit.Total" localSheetId="12">Dezember!$AI$80</definedName>
    <definedName name="Monat.Abendarbeit.Total" localSheetId="2">Februar!$AF$80</definedName>
    <definedName name="Monat.Abendarbeit.Total" localSheetId="1">Januar!$AI$80</definedName>
    <definedName name="Monat.Abendarbeit.Total" localSheetId="7">Juli!$AI$80</definedName>
    <definedName name="Monat.Abendarbeit.Total" localSheetId="6">Juni!$AH$80</definedName>
    <definedName name="Monat.Abendarbeit.Total" localSheetId="5">Mai!$AI$80</definedName>
    <definedName name="Monat.Abendarbeit.Total" localSheetId="3">März!$AI$80</definedName>
    <definedName name="Monat.Abendarbeit.Total" localSheetId="11">November!$AH$80</definedName>
    <definedName name="Monat.Abendarbeit.Total" localSheetId="10">Oktober!$AI$80</definedName>
    <definedName name="Monat.Abendarbeit.Total" localSheetId="9">September!$AH$80</definedName>
    <definedName name="Monat.AbendarbeitText" localSheetId="4">April!$A$80</definedName>
    <definedName name="Monat.AbendarbeitText" localSheetId="8">August!$A$80</definedName>
    <definedName name="Monat.AbendarbeitText" localSheetId="12">Dezember!$A$80</definedName>
    <definedName name="Monat.AbendarbeitText" localSheetId="2">Februar!$A$80</definedName>
    <definedName name="Monat.AbendarbeitText" localSheetId="1">Januar!$A$80</definedName>
    <definedName name="Monat.AbendarbeitText" localSheetId="7">Juli!$A$80</definedName>
    <definedName name="Monat.AbendarbeitText" localSheetId="6">Juni!$A$80</definedName>
    <definedName name="Monat.AbendarbeitText" localSheetId="5">Mai!$A$80</definedName>
    <definedName name="Monat.AbendarbeitText" localSheetId="3">März!$A$80</definedName>
    <definedName name="Monat.AbendarbeitText" localSheetId="11">November!$A$80</definedName>
    <definedName name="Monat.AbendarbeitText" localSheetId="10">Oktober!$A$80</definedName>
    <definedName name="Monat.AbendarbeitText" localSheetId="9">September!$A$80</definedName>
    <definedName name="Monat.AnUeZ.Total" localSheetId="4">April!$AH$60</definedName>
    <definedName name="Monat.AnUeZ.Total" localSheetId="8">August!$AI$60</definedName>
    <definedName name="Monat.AnUeZ.Total" localSheetId="12">Dezember!$AI$60</definedName>
    <definedName name="Monat.AnUeZ.Total" localSheetId="2">Februar!$AF$60</definedName>
    <definedName name="Monat.AnUeZ.Total" localSheetId="1">Januar!$AI$60</definedName>
    <definedName name="Monat.AnUeZ.Total" localSheetId="7">Juli!$AI$60</definedName>
    <definedName name="Monat.AnUeZ.Total" localSheetId="6">Juni!$AH$60</definedName>
    <definedName name="Monat.AnUeZ.Total" localSheetId="5">Mai!$AI$60</definedName>
    <definedName name="Monat.AnUeZ.Total" localSheetId="3">März!$AI$60</definedName>
    <definedName name="Monat.AnUeZ.Total" localSheetId="11">November!$AH$60</definedName>
    <definedName name="Monat.AnUeZ.Total" localSheetId="10">Oktober!$AI$60</definedName>
    <definedName name="Monat.AnUeZ.Total" localSheetId="9">September!$AH$60</definedName>
    <definedName name="Monat.AnUeZ.Zähler" localSheetId="4">April!$AI$60</definedName>
    <definedName name="Monat.AnUeZ.Zähler" localSheetId="8">August!$AJ$60</definedName>
    <definedName name="Monat.AnUeZ.Zähler" localSheetId="12">Dezember!$AJ$60</definedName>
    <definedName name="Monat.AnUeZ.Zähler" localSheetId="2">Februar!$AG$60</definedName>
    <definedName name="Monat.AnUeZ.Zähler" localSheetId="1">Januar!$AJ$60</definedName>
    <definedName name="Monat.AnUeZ.Zähler" localSheetId="7">Juli!$AJ$60</definedName>
    <definedName name="Monat.AnUeZ.Zähler" localSheetId="6">Juni!$AI$60</definedName>
    <definedName name="Monat.AnUeZ.Zähler" localSheetId="5">Mai!$AJ$60</definedName>
    <definedName name="Monat.AnUeZ.Zähler" localSheetId="3">März!$AJ$60</definedName>
    <definedName name="Monat.AnUeZ.Zähler" localSheetId="11">November!$AI$60</definedName>
    <definedName name="Monat.AnUeZ.Zähler" localSheetId="10">Oktober!$AJ$60</definedName>
    <definedName name="Monat.AnUeZ.Zähler" localSheetId="9">September!$AI$60</definedName>
    <definedName name="Monat.AnUeZText" localSheetId="4">April!$A$60</definedName>
    <definedName name="Monat.AnUeZText" localSheetId="8">August!$A$60</definedName>
    <definedName name="Monat.AnUeZText" localSheetId="12">Dezember!$A$60</definedName>
    <definedName name="Monat.AnUeZText" localSheetId="2">Februar!$A$60</definedName>
    <definedName name="Monat.AnUeZText" localSheetId="1">Januar!$A$60</definedName>
    <definedName name="Monat.AnUeZText" localSheetId="7">Juli!$A$60</definedName>
    <definedName name="Monat.AnUeZText" localSheetId="6">Juni!$A$60</definedName>
    <definedName name="Monat.AnUeZText" localSheetId="5">Mai!$A$60</definedName>
    <definedName name="Monat.AnUeZText" localSheetId="3">März!$A$60</definedName>
    <definedName name="Monat.AnUeZText" localSheetId="11">November!$A$60</definedName>
    <definedName name="Monat.AnUeZText" localSheetId="10">Oktober!$A$60</definedName>
    <definedName name="Monat.AnUeZText" localSheetId="9">September!$A$60</definedName>
    <definedName name="Monat.AnUeZUeVM" localSheetId="4">April!$AM$60</definedName>
    <definedName name="Monat.AnUeZUeVM" localSheetId="8">August!$AN$60</definedName>
    <definedName name="Monat.AnUeZUeVM" localSheetId="12">Dezember!$AN$60</definedName>
    <definedName name="Monat.AnUeZUeVM" localSheetId="2">Februar!$AK$60</definedName>
    <definedName name="Monat.AnUeZUeVM" localSheetId="1">Januar!$AN$60</definedName>
    <definedName name="Monat.AnUeZUeVM" localSheetId="7">Juli!$AN$60</definedName>
    <definedName name="Monat.AnUeZUeVM" localSheetId="6">Juni!$AM$60</definedName>
    <definedName name="Monat.AnUeZUeVM" localSheetId="5">Mai!$AN$60</definedName>
    <definedName name="Monat.AnUeZUeVM" localSheetId="3">März!$AN$60</definedName>
    <definedName name="Monat.AnUeZUeVM" localSheetId="11">November!$AM$60</definedName>
    <definedName name="Monat.AnUeZUeVM" localSheetId="10">Oktober!$AN$60</definedName>
    <definedName name="Monat.AnUeZUeVM" localSheetId="9">September!$AM$60</definedName>
    <definedName name="Monat.ArztText" localSheetId="4">April!$A$86</definedName>
    <definedName name="Monat.ArztText" localSheetId="8">August!$A$86</definedName>
    <definedName name="Monat.ArztText" localSheetId="12">Dezember!$A$86</definedName>
    <definedName name="Monat.ArztText" localSheetId="2">Februar!$A$86</definedName>
    <definedName name="Monat.ArztText" localSheetId="1">Januar!$A$86</definedName>
    <definedName name="Monat.ArztText" localSheetId="7">Juli!$A$86</definedName>
    <definedName name="Monat.ArztText" localSheetId="6">Juni!$A$86</definedName>
    <definedName name="Monat.ArztText" localSheetId="5">Mai!$A$86</definedName>
    <definedName name="Monat.ArztText" localSheetId="3">März!$A$86</definedName>
    <definedName name="Monat.ArztText" localSheetId="11">November!$A$86</definedName>
    <definedName name="Monat.ArztText" localSheetId="10">Oktober!$A$86</definedName>
    <definedName name="Monat.ArztText" localSheetId="9">September!$A$86</definedName>
    <definedName name="Monat.ArztUeVM" localSheetId="4">April!$AM$86</definedName>
    <definedName name="Monat.ArztUeVM" localSheetId="8">August!$AN$86</definedName>
    <definedName name="Monat.ArztUeVM" localSheetId="12">Dezember!$AN$86</definedName>
    <definedName name="Monat.ArztUeVM" localSheetId="2">Februar!$AK$86</definedName>
    <definedName name="Monat.ArztUeVM" localSheetId="1">Januar!$AN$86</definedName>
    <definedName name="Monat.ArztUeVM" localSheetId="7">Juli!$AN$86</definedName>
    <definedName name="Monat.ArztUeVM" localSheetId="6">Juni!$AM$86</definedName>
    <definedName name="Monat.ArztUeVM" localSheetId="5">Mai!$AN$86</definedName>
    <definedName name="Monat.ArztUeVM" localSheetId="3">März!$AN$86</definedName>
    <definedName name="Monat.ArztUeVM" localSheetId="11">November!$AM$86</definedName>
    <definedName name="Monat.ArztUeVM" localSheetId="10">Oktober!$AN$86</definedName>
    <definedName name="Monat.ArztUeVM" localSheetId="9">September!$AM$86</definedName>
    <definedName name="Monat.AZIstWRestUeVM" localSheetId="4">April!$AM$51</definedName>
    <definedName name="Monat.AZIstWRestUeVM" localSheetId="8">August!$AN$51</definedName>
    <definedName name="Monat.AZIstWRestUeVM" localSheetId="12">Dezember!$AN$51</definedName>
    <definedName name="Monat.AZIstWRestUeVM" localSheetId="2">Februar!$AK$51</definedName>
    <definedName name="Monat.AZIstWRestUeVM" localSheetId="1">Januar!$AN$51</definedName>
    <definedName name="Monat.AZIstWRestUeVM" localSheetId="7">Juli!$AN$51</definedName>
    <definedName name="Monat.AZIstWRestUeVM" localSheetId="6">Juni!$AM$51</definedName>
    <definedName name="Monat.AZIstWRestUeVM" localSheetId="5">Mai!$AN$51</definedName>
    <definedName name="Monat.AZIstWRestUeVM" localSheetId="3">März!$AN$51</definedName>
    <definedName name="Monat.AZIstWRestUeVM" localSheetId="11">November!$AM$51</definedName>
    <definedName name="Monat.AZIstWRestUeVM" localSheetId="10">Oktober!$AN$51</definedName>
    <definedName name="Monat.AZIstWRestUeVM" localSheetId="9">September!$AM$51</definedName>
    <definedName name="Monat.AZSaldoUeVM" localSheetId="4">April!$AM$56</definedName>
    <definedName name="Monat.AZSaldoUeVM" localSheetId="8">August!$AN$56</definedName>
    <definedName name="Monat.AZSaldoUeVM" localSheetId="12">Dezember!$AN$56</definedName>
    <definedName name="Monat.AZSaldoUeVM" localSheetId="2">Februar!$AK$56</definedName>
    <definedName name="Monat.AZSaldoUeVM" localSheetId="1">Januar!$AN$56</definedName>
    <definedName name="Monat.AZSaldoUeVM" localSheetId="7">Juli!$AN$56</definedName>
    <definedName name="Monat.AZSaldoUeVM" localSheetId="6">Juni!$AM$56</definedName>
    <definedName name="Monat.AZSaldoUeVM" localSheetId="5">Mai!$AN$56</definedName>
    <definedName name="Monat.AZSaldoUeVM" localSheetId="3">März!$AN$56</definedName>
    <definedName name="Monat.AZSaldoUeVM" localSheetId="11">November!$AM$56</definedName>
    <definedName name="Monat.AZSaldoUeVM" localSheetId="10">Oktober!$AN$56</definedName>
    <definedName name="Monat.AZSaldoUeVM" localSheetId="9">September!$AM$56</definedName>
    <definedName name="Monat.AZSoll.Total" localSheetId="4">April!$AH$53</definedName>
    <definedName name="Monat.AZSoll.Total" localSheetId="8">August!$AI$53</definedName>
    <definedName name="Monat.AZSoll.Total" localSheetId="12">Dezember!$AI$53</definedName>
    <definedName name="Monat.AZSoll.Total" localSheetId="2">Februar!$AF$53</definedName>
    <definedName name="Monat.AZSoll.Total" localSheetId="1">Januar!$AI$53</definedName>
    <definedName name="Monat.AZSoll.Total" localSheetId="7">Juli!$AI$53</definedName>
    <definedName name="Monat.AZSoll.Total" localSheetId="6">Juni!$AH$53</definedName>
    <definedName name="Monat.AZSoll.Total" localSheetId="5">Mai!$AI$53</definedName>
    <definedName name="Monat.AZSoll.Total" localSheetId="3">März!$AI$53</definedName>
    <definedName name="Monat.AZSoll.Total" localSheetId="11">November!$AH$53</definedName>
    <definedName name="Monat.AZSoll.Total" localSheetId="10">Oktober!$AI$53</definedName>
    <definedName name="Monat.AZSoll.Total" localSheetId="9">September!$AH$53</definedName>
    <definedName name="Monat.AZSoll100.Total" localSheetId="4">April!$AH$54</definedName>
    <definedName name="Monat.AZSoll100.Total" localSheetId="8">August!$AI$54</definedName>
    <definedName name="Monat.AZSoll100.Total" localSheetId="12">Dezember!$AI$54</definedName>
    <definedName name="Monat.AZSoll100.Total" localSheetId="2">Februar!$AF$54</definedName>
    <definedName name="Monat.AZSoll100.Total" localSheetId="1">Januar!$AI$54</definedName>
    <definedName name="Monat.AZSoll100.Total" localSheetId="7">Juli!$AI$54</definedName>
    <definedName name="Monat.AZSoll100.Total" localSheetId="6">Juni!$AH$54</definedName>
    <definedName name="Monat.AZSoll100.Total" localSheetId="5">Mai!$AI$54</definedName>
    <definedName name="Monat.AZSoll100.Total" localSheetId="3">März!$AI$54</definedName>
    <definedName name="Monat.AZSoll100.Total" localSheetId="11">November!$AH$54</definedName>
    <definedName name="Monat.AZSoll100.Total" localSheetId="10">Oktober!$AI$54</definedName>
    <definedName name="Monat.AZSoll100.Total" localSheetId="9">September!$AH$54</definedName>
    <definedName name="Monat.BD.Total" localSheetId="4">April!$AH$81</definedName>
    <definedName name="Monat.BD.Total" localSheetId="8">August!$AI$81</definedName>
    <definedName name="Monat.BD.Total" localSheetId="12">Dezember!$AI$81</definedName>
    <definedName name="Monat.BD.Total" localSheetId="2">Februar!$AF$81</definedName>
    <definedName name="Monat.BD.Total" localSheetId="1">Januar!$AI$81</definedName>
    <definedName name="Monat.BD.Total" localSheetId="7">Juli!$AI$81</definedName>
    <definedName name="Monat.BD.Total" localSheetId="6">Juni!$AH$81</definedName>
    <definedName name="Monat.BD.Total" localSheetId="5">Mai!$AI$81</definedName>
    <definedName name="Monat.BD.Total" localSheetId="3">März!$AI$81</definedName>
    <definedName name="Monat.BD.Total" localSheetId="11">November!$AH$81</definedName>
    <definedName name="Monat.BD.Total" localSheetId="10">Oktober!$AI$81</definedName>
    <definedName name="Monat.BD.Total" localSheetId="9">September!$AH$81</definedName>
    <definedName name="Monat.BDText" localSheetId="4">April!$A$81</definedName>
    <definedName name="Monat.BDText" localSheetId="8">August!$A$81</definedName>
    <definedName name="Monat.BDText" localSheetId="12">Dezember!$A$81</definedName>
    <definedName name="Monat.BDText" localSheetId="2">Februar!$A$81</definedName>
    <definedName name="Monat.BDText" localSheetId="1">Januar!$A$81</definedName>
    <definedName name="Monat.BDText" localSheetId="7">Juli!$A$81</definedName>
    <definedName name="Monat.BDText" localSheetId="6">Juni!$A$81</definedName>
    <definedName name="Monat.BDText" localSheetId="5">Mai!$A$81</definedName>
    <definedName name="Monat.BDText" localSheetId="3">März!$A$81</definedName>
    <definedName name="Monat.BDText" localSheetId="11">November!$A$81</definedName>
    <definedName name="Monat.BDText" localSheetId="10">Oktober!$A$81</definedName>
    <definedName name="Monat.BDText" localSheetId="9">September!$A$81</definedName>
    <definedName name="Monat.BDUeVM" localSheetId="4">April!$AM$81</definedName>
    <definedName name="Monat.BDUeVM" localSheetId="8">August!$AN$81</definedName>
    <definedName name="Monat.BDUeVM" localSheetId="12">Dezember!$AN$81</definedName>
    <definedName name="Monat.BDUeVM" localSheetId="2">Februar!$AK$81</definedName>
    <definedName name="Monat.BDUeVM" localSheetId="1">Januar!$AN$81</definedName>
    <definedName name="Monat.BDUeVM" localSheetId="7">Juli!$AN$81</definedName>
    <definedName name="Monat.BDUeVM" localSheetId="6">Juni!$AM$81</definedName>
    <definedName name="Monat.BDUeVM" localSheetId="5">Mai!$AN$81</definedName>
    <definedName name="Monat.BDUeVM" localSheetId="3">März!$AN$81</definedName>
    <definedName name="Monat.BDUeVM" localSheetId="11">November!$AM$81</definedName>
    <definedName name="Monat.BDUeVM" localSheetId="10">Oktober!$AN$81</definedName>
    <definedName name="Monat.BDUeVM" localSheetId="9">September!$AM$81</definedName>
    <definedName name="Monat.BereitschaftgesternTag1" localSheetId="4">April!$B$81</definedName>
    <definedName name="Monat.BereitschaftgesternTag1" localSheetId="8">August!$B$81</definedName>
    <definedName name="Monat.BereitschaftgesternTag1" localSheetId="12">Dezember!$B$81</definedName>
    <definedName name="Monat.BereitschaftgesternTag1" localSheetId="2">Februar!$B$81</definedName>
    <definedName name="Monat.BereitschaftgesternTag1" localSheetId="1">Januar!$B$81</definedName>
    <definedName name="Monat.BereitschaftgesternTag1" localSheetId="7">Juli!$B$81</definedName>
    <definedName name="Monat.BereitschaftgesternTag1" localSheetId="6">Juni!$B$81</definedName>
    <definedName name="Monat.BereitschaftgesternTag1" localSheetId="5">Mai!$B$81</definedName>
    <definedName name="Monat.BereitschaftgesternTag1" localSheetId="3">März!$B$81</definedName>
    <definedName name="Monat.BereitschaftgesternTag1" localSheetId="11">November!$B$81</definedName>
    <definedName name="Monat.BereitschaftgesternTag1" localSheetId="10">Oktober!$B$81</definedName>
    <definedName name="Monat.BereitschaftgesternTag1" localSheetId="9">September!$B$81</definedName>
    <definedName name="Monat.BereitschaftletzterTag" localSheetId="4">OFFSET(April!$B$77,0,DAY(EOMONTH(April!$B$10,0))-1,1,1)</definedName>
    <definedName name="Monat.BereitschaftletzterTag" localSheetId="8">OFFSET(August!$B$77,0,DAY(EOMONTH(August!$B$10,0))-1,1,1)</definedName>
    <definedName name="Monat.BereitschaftletzterTag" localSheetId="12">OFFSET(Dezember!$B$77,0,DAY(EOMONTH(Dezember!$B$10,0))-1,1,1)</definedName>
    <definedName name="Monat.BereitschaftletzterTag" localSheetId="2">OFFSET(Februar!$B$77,0,DAY(EOMONTH(Februar!$B$10,0))-1,1,1)</definedName>
    <definedName name="Monat.BereitschaftletzterTag" localSheetId="1">OFFSET(Januar!$B$77,0,DAY(EOMONTH(Januar!$B$10,0))-1,1,1)</definedName>
    <definedName name="Monat.BereitschaftletzterTag" localSheetId="7">OFFSET(Juli!$B$77,0,DAY(EOMONTH(Juli!$B$10,0))-1,1,1)</definedName>
    <definedName name="Monat.BereitschaftletzterTag" localSheetId="6">OFFSET(Juni!$B$77,0,DAY(EOMONTH(Juni!$B$10,0))-1,1,1)</definedName>
    <definedName name="Monat.BereitschaftletzterTag" localSheetId="5">OFFSET(Mai!$B$77,0,DAY(EOMONTH(Mai!$B$10,0))-1,1,1)</definedName>
    <definedName name="Monat.BereitschaftletzterTag" localSheetId="3">OFFSET(März!$B$77,0,DAY(EOMONTH(März!$B$10,0))-1,1,1)</definedName>
    <definedName name="Monat.BereitschaftletzterTag" localSheetId="11">OFFSET(November!$B$77,0,DAY(EOMONTH(November!$B$10,0))-1,1,1)</definedName>
    <definedName name="Monat.BereitschaftletzterTag" localSheetId="10">OFFSET(Oktober!$B$77,0,DAY(EOMONTH(Oktober!$B$10,0))-1,1,1)</definedName>
    <definedName name="Monat.BereitschaftletzterTag" localSheetId="9">OFFSET(September!$B$77,0,DAY(EOMONTH(September!$B$10,0))-1,1,1)</definedName>
    <definedName name="Monat.BesU.Total" localSheetId="4">April!$AH$92</definedName>
    <definedName name="Monat.BesU.Total" localSheetId="8">August!$AI$92</definedName>
    <definedName name="Monat.BesU.Total" localSheetId="12">Dezember!$AI$92</definedName>
    <definedName name="Monat.BesU.Total" localSheetId="2">Februar!$AF$92</definedName>
    <definedName name="Monat.BesU.Total" localSheetId="1">Januar!$AI$92</definedName>
    <definedName name="Monat.BesU.Total" localSheetId="7">Juli!$AI$92</definedName>
    <definedName name="Monat.BesU.Total" localSheetId="6">Juni!$AH$92</definedName>
    <definedName name="Monat.BesU.Total" localSheetId="5">Mai!$AI$92</definedName>
    <definedName name="Monat.BesU.Total" localSheetId="3">März!$AI$92</definedName>
    <definedName name="Monat.BesU.Total" localSheetId="11">November!$AH$92</definedName>
    <definedName name="Monat.BesU.Total" localSheetId="10">Oktober!$AI$92</definedName>
    <definedName name="Monat.BesU.Total" localSheetId="9">September!$AH$92</definedName>
    <definedName name="Monat.BesUrlaubText" localSheetId="4">April!$A$92</definedName>
    <definedName name="Monat.BesUrlaubText" localSheetId="8">August!$A$92</definedName>
    <definedName name="Monat.BesUrlaubText" localSheetId="12">Dezember!$A$92</definedName>
    <definedName name="Monat.BesUrlaubText" localSheetId="2">Februar!$A$92</definedName>
    <definedName name="Monat.BesUrlaubText" localSheetId="1">Januar!$A$92</definedName>
    <definedName name="Monat.BesUrlaubText" localSheetId="7">Juli!$A$92</definedName>
    <definedName name="Monat.BesUrlaubText" localSheetId="6">Juni!$A$92</definedName>
    <definedName name="Monat.BesUrlaubText" localSheetId="5">Mai!$A$92</definedName>
    <definedName name="Monat.BesUrlaubText" localSheetId="3">März!$A$92</definedName>
    <definedName name="Monat.BesUrlaubText" localSheetId="11">November!$A$92</definedName>
    <definedName name="Monat.BesUrlaubText" localSheetId="10">Oktober!$A$92</definedName>
    <definedName name="Monat.BesUrlaubText" localSheetId="9">September!$A$92</definedName>
    <definedName name="Monat.BesUrlaubUeVM" localSheetId="4">April!$AM$92</definedName>
    <definedName name="Monat.BesUrlaubUeVM" localSheetId="8">August!$AN$92</definedName>
    <definedName name="Monat.BesUrlaubUeVM" localSheetId="12">Dezember!$AN$92</definedName>
    <definedName name="Monat.BesUrlaubUeVM" localSheetId="2">Februar!$AK$92</definedName>
    <definedName name="Monat.BesUrlaubUeVM" localSheetId="1">Januar!$AN$92</definedName>
    <definedName name="Monat.BesUrlaubUeVM" localSheetId="7">Juli!$AN$92</definedName>
    <definedName name="Monat.BesUrlaubUeVM" localSheetId="6">Juni!$AM$92</definedName>
    <definedName name="Monat.BesUrlaubUeVM" localSheetId="5">Mai!$AN$92</definedName>
    <definedName name="Monat.BesUrlaubUeVM" localSheetId="3">März!$AN$92</definedName>
    <definedName name="Monat.BesUrlaubUeVM" localSheetId="11">November!$AM$92</definedName>
    <definedName name="Monat.BesUrlaubUeVM" localSheetId="10">Oktober!$AN$92</definedName>
    <definedName name="Monat.BesUrlaubUeVM" localSheetId="9">September!$AM$92</definedName>
    <definedName name="Monat.BU.Total" localSheetId="4">April!$AH$88</definedName>
    <definedName name="Monat.BU.Total" localSheetId="8">August!$AI$88</definedName>
    <definedName name="Monat.BU.Total" localSheetId="12">Dezember!$AI$88</definedName>
    <definedName name="Monat.BU.Total" localSheetId="2">Februar!$AF$88</definedName>
    <definedName name="Monat.BU.Total" localSheetId="1">Januar!$AI$88</definedName>
    <definedName name="Monat.BU.Total" localSheetId="7">Juli!$AI$88</definedName>
    <definedName name="Monat.BU.Total" localSheetId="6">Juni!$AH$88</definedName>
    <definedName name="Monat.BU.Total" localSheetId="5">Mai!$AI$88</definedName>
    <definedName name="Monat.BU.Total" localSheetId="3">März!$AI$88</definedName>
    <definedName name="Monat.BU.Total" localSheetId="11">November!$AH$88</definedName>
    <definedName name="Monat.BU.Total" localSheetId="10">Oktober!$AI$88</definedName>
    <definedName name="Monat.BU.Total" localSheetId="9">September!$AH$88</definedName>
    <definedName name="Monat.BUText" localSheetId="4">April!$A$88</definedName>
    <definedName name="Monat.BUText" localSheetId="8">August!$A$88</definedName>
    <definedName name="Monat.BUText" localSheetId="12">Dezember!$A$88</definedName>
    <definedName name="Monat.BUText" localSheetId="2">Februar!$A$88</definedName>
    <definedName name="Monat.BUText" localSheetId="1">Januar!$A$88</definedName>
    <definedName name="Monat.BUText" localSheetId="7">Juli!$A$88</definedName>
    <definedName name="Monat.BUText" localSheetId="6">Juni!$A$88</definedName>
    <definedName name="Monat.BUText" localSheetId="5">Mai!$A$88</definedName>
    <definedName name="Monat.BUText" localSheetId="3">März!$A$88</definedName>
    <definedName name="Monat.BUText" localSheetId="11">November!$A$88</definedName>
    <definedName name="Monat.BUText" localSheetId="10">Oktober!$A$88</definedName>
    <definedName name="Monat.BUText" localSheetId="9">September!$A$88</definedName>
    <definedName name="Monat.BUUeVM" localSheetId="4">April!$AM$88</definedName>
    <definedName name="Monat.BUUeVM" localSheetId="8">August!$AN$88</definedName>
    <definedName name="Monat.BUUeVM" localSheetId="12">Dezember!$AN$88</definedName>
    <definedName name="Monat.BUUeVM" localSheetId="2">Februar!$AK$88</definedName>
    <definedName name="Monat.BUUeVM" localSheetId="1">Januar!$AN$88</definedName>
    <definedName name="Monat.BUUeVM" localSheetId="7">Juli!$AN$88</definedName>
    <definedName name="Monat.BUUeVM" localSheetId="6">Juni!$AM$88</definedName>
    <definedName name="Monat.BUUeVM" localSheetId="5">Mai!$AN$88</definedName>
    <definedName name="Monat.BUUeVM" localSheetId="3">März!$AN$88</definedName>
    <definedName name="Monat.BUUeVM" localSheetId="11">November!$AM$88</definedName>
    <definedName name="Monat.BUUeVM" localSheetId="10">Oktober!$AN$88</definedName>
    <definedName name="Monat.BUUeVM" localSheetId="9">September!$AM$88</definedName>
    <definedName name="Monat.DAG.Total" localSheetId="4">April!$AH$95</definedName>
    <definedName name="Monat.DAG.Total" localSheetId="8">August!$AI$95</definedName>
    <definedName name="Monat.DAG.Total" localSheetId="12">Dezember!$AI$95</definedName>
    <definedName name="Monat.DAG.Total" localSheetId="2">Februar!$AF$95</definedName>
    <definedName name="Monat.DAG.Total" localSheetId="1">Januar!$AI$95</definedName>
    <definedName name="Monat.DAG.Total" localSheetId="7">Juli!$AI$95</definedName>
    <definedName name="Monat.DAG.Total" localSheetId="6">Juni!$AH$95</definedName>
    <definedName name="Monat.DAG.Total" localSheetId="5">Mai!$AI$95</definedName>
    <definedName name="Monat.DAG.Total" localSheetId="3">März!$AI$95</definedName>
    <definedName name="Monat.DAG.Total" localSheetId="11">November!$AH$95</definedName>
    <definedName name="Monat.DAG.Total" localSheetId="10">Oktober!$AI$95</definedName>
    <definedName name="Monat.DAG.Total" localSheetId="9">September!$AH$95</definedName>
    <definedName name="Monat.DAGText" localSheetId="4">April!$A$95</definedName>
    <definedName name="Monat.DAGText" localSheetId="8">August!$A$95</definedName>
    <definedName name="Monat.DAGText" localSheetId="12">Dezember!$A$95</definedName>
    <definedName name="Monat.DAGText" localSheetId="2">Februar!$A$95</definedName>
    <definedName name="Monat.DAGText" localSheetId="1">Januar!$A$95</definedName>
    <definedName name="Monat.DAGText" localSheetId="7">Juli!$A$95</definedName>
    <definedName name="Monat.DAGText" localSheetId="6">Juni!$A$95</definedName>
    <definedName name="Monat.DAGText" localSheetId="5">Mai!$A$95</definedName>
    <definedName name="Monat.DAGText" localSheetId="3">März!$A$95</definedName>
    <definedName name="Monat.DAGText" localSheetId="11">November!$A$95</definedName>
    <definedName name="Monat.DAGText" localSheetId="10">Oktober!$A$95</definedName>
    <definedName name="Monat.DAGText" localSheetId="9">September!$A$95</definedName>
    <definedName name="Monat.DAGUeVM" localSheetId="4">April!$AM$95</definedName>
    <definedName name="Monat.DAGUeVM" localSheetId="8">August!$AN$95</definedName>
    <definedName name="Monat.DAGUeVM" localSheetId="12">Dezember!$AN$95</definedName>
    <definedName name="Monat.DAGUeVM" localSheetId="2">Februar!$AK$95</definedName>
    <definedName name="Monat.DAGUeVM" localSheetId="1">Januar!$AN$95</definedName>
    <definedName name="Monat.DAGUeVM" localSheetId="7">Juli!$AN$95</definedName>
    <definedName name="Monat.DAGUeVM" localSheetId="6">Juni!$AM$95</definedName>
    <definedName name="Monat.DAGUeVM" localSheetId="5">Mai!$AN$95</definedName>
    <definedName name="Monat.DAGUeVM" localSheetId="3">März!$AN$95</definedName>
    <definedName name="Monat.DAGUeVM" localSheetId="11">November!$AM$95</definedName>
    <definedName name="Monat.DAGUeVM" localSheetId="10">Oktober!$AN$95</definedName>
    <definedName name="Monat.DAGUeVM" localSheetId="9">September!$AM$95</definedName>
    <definedName name="Monat.ein_aus.Total" localSheetId="4">April!$AH$23</definedName>
    <definedName name="Monat.ein_aus.Total" localSheetId="8">August!$AI$23</definedName>
    <definedName name="Monat.ein_aus.Total" localSheetId="12">Dezember!$AI$23</definedName>
    <definedName name="Monat.ein_aus.Total" localSheetId="2">Februar!$AF$23</definedName>
    <definedName name="Monat.ein_aus.Total" localSheetId="1">Januar!$AI$23</definedName>
    <definedName name="Monat.ein_aus.Total" localSheetId="7">Juli!$AI$23</definedName>
    <definedName name="Monat.ein_aus.Total" localSheetId="6">Juni!$AH$23</definedName>
    <definedName name="Monat.ein_aus.Total" localSheetId="5">Mai!$AI$23</definedName>
    <definedName name="Monat.ein_aus.Total" localSheetId="3">März!$AI$23</definedName>
    <definedName name="Monat.ein_aus.Total" localSheetId="11">November!$AH$23</definedName>
    <definedName name="Monat.ein_aus.Total" localSheetId="10">Oktober!$AI$23</definedName>
    <definedName name="Monat.ein_aus.Total" localSheetId="9">September!$AH$23</definedName>
    <definedName name="Monat.ein_aus_Pikett.Total" localSheetId="4">April!$AH$45</definedName>
    <definedName name="Monat.ein_aus_Pikett.Total" localSheetId="8">August!$AI$45</definedName>
    <definedName name="Monat.ein_aus_Pikett.Total" localSheetId="12">Dezember!$AI$45</definedName>
    <definedName name="Monat.ein_aus_Pikett.Total" localSheetId="2">Februar!$AF$45</definedName>
    <definedName name="Monat.ein_aus_Pikett.Total" localSheetId="1">Januar!$AI$45</definedName>
    <definedName name="Monat.ein_aus_Pikett.Total" localSheetId="7">Juli!$AI$45</definedName>
    <definedName name="Monat.ein_aus_Pikett.Total" localSheetId="6">Juni!$AH$45</definedName>
    <definedName name="Monat.ein_aus_Pikett.Total" localSheetId="5">Mai!$AI$45</definedName>
    <definedName name="Monat.ein_aus_Pikett.Total" localSheetId="3">März!$AI$45</definedName>
    <definedName name="Monat.ein_aus_Pikett.Total" localSheetId="11">November!$AH$45</definedName>
    <definedName name="Monat.ein_aus_Pikett.Total" localSheetId="10">Oktober!$AI$45</definedName>
    <definedName name="Monat.ein_aus_Pikett.Total" localSheetId="9">September!$AH$45</definedName>
    <definedName name="Monat.ein_aus_PikettText" localSheetId="4">April!$A$45</definedName>
    <definedName name="Monat.ein_aus_PikettText" localSheetId="8">August!$A$45</definedName>
    <definedName name="Monat.ein_aus_PikettText" localSheetId="12">Dezember!$A$45</definedName>
    <definedName name="Monat.ein_aus_PikettText" localSheetId="2">Februar!$A$45</definedName>
    <definedName name="Monat.ein_aus_PikettText" localSheetId="1">Januar!$A$45</definedName>
    <definedName name="Monat.ein_aus_PikettText" localSheetId="7">Juli!$A$45</definedName>
    <definedName name="Monat.ein_aus_PikettText" localSheetId="6">Juni!$A$45</definedName>
    <definedName name="Monat.ein_aus_PikettText" localSheetId="5">Mai!$A$45</definedName>
    <definedName name="Monat.ein_aus_PikettText" localSheetId="3">März!$A$45</definedName>
    <definedName name="Monat.ein_aus_PikettText" localSheetId="11">November!$A$45</definedName>
    <definedName name="Monat.ein_aus_PikettText" localSheetId="10">Oktober!$A$45</definedName>
    <definedName name="Monat.ein_aus_PikettText" localSheetId="9">September!$A$45</definedName>
    <definedName name="Monat.ein_ausText" localSheetId="4">April!$A$23</definedName>
    <definedName name="Monat.ein_ausText" localSheetId="8">August!$A$23</definedName>
    <definedName name="Monat.ein_ausText" localSheetId="12">Dezember!$A$23</definedName>
    <definedName name="Monat.ein_ausText" localSheetId="2">Februar!$A$23</definedName>
    <definedName name="Monat.ein_ausText" localSheetId="1">Januar!$A$23</definedName>
    <definedName name="Monat.ein_ausText" localSheetId="7">Juli!$A$23</definedName>
    <definedName name="Monat.ein_ausText" localSheetId="6">Juni!$A$23</definedName>
    <definedName name="Monat.ein_ausText" localSheetId="5">Mai!$A$23</definedName>
    <definedName name="Monat.ein_ausText" localSheetId="3">März!$A$23</definedName>
    <definedName name="Monat.ein_ausText" localSheetId="11">November!$A$23</definedName>
    <definedName name="Monat.ein_ausText" localSheetId="10">Oktober!$A$23</definedName>
    <definedName name="Monat.ein_ausText" localSheetId="9">September!$A$23</definedName>
    <definedName name="Monat.Ferien.JS" localSheetId="4">April!$AN$84</definedName>
    <definedName name="Monat.Ferien.JS" localSheetId="8">August!$AO$84</definedName>
    <definedName name="Monat.Ferien.JS" localSheetId="12">Dezember!$AO$84</definedName>
    <definedName name="Monat.Ferien.JS" localSheetId="2">Februar!$AL$84</definedName>
    <definedName name="Monat.Ferien.JS" localSheetId="1">Januar!$AO$84</definedName>
    <definedName name="Monat.Ferien.JS" localSheetId="7">Juli!$AO$84</definedName>
    <definedName name="Monat.Ferien.JS" localSheetId="6">Juni!$AN$84</definedName>
    <definedName name="Monat.Ferien.JS" localSheetId="5">Mai!$AO$84</definedName>
    <definedName name="Monat.Ferien.JS" localSheetId="3">März!$AO$84</definedName>
    <definedName name="Monat.Ferien.JS" localSheetId="11">November!$AN$84</definedName>
    <definedName name="Monat.Ferien.JS" localSheetId="10">Oktober!$AO$84</definedName>
    <definedName name="Monat.Ferien.JS" localSheetId="9">September!$AN$84</definedName>
    <definedName name="Monat.Ferien.Total" localSheetId="4">April!$AH$84</definedName>
    <definedName name="Monat.Ferien.Total" localSheetId="8">August!$AI$84</definedName>
    <definedName name="Monat.Ferien.Total" localSheetId="12">Dezember!$AI$84</definedName>
    <definedName name="Monat.Ferien.Total" localSheetId="2">Februar!$AF$84</definedName>
    <definedName name="Monat.Ferien.Total" localSheetId="1">Januar!$AI$84</definedName>
    <definedName name="Monat.Ferien.Total" localSheetId="7">Juli!$AI$84</definedName>
    <definedName name="Monat.Ferien.Total" localSheetId="6">Juni!$AH$84</definedName>
    <definedName name="Monat.Ferien.Total" localSheetId="5">Mai!$AI$84</definedName>
    <definedName name="Monat.Ferien.Total" localSheetId="3">März!$AI$84</definedName>
    <definedName name="Monat.Ferien.Total" localSheetId="11">November!$AH$84</definedName>
    <definedName name="Monat.Ferien.Total" localSheetId="10">Oktober!$AI$84</definedName>
    <definedName name="Monat.Ferien.Total" localSheetId="9">September!$AH$84</definedName>
    <definedName name="Monat.FerienKor.Total" localSheetId="4">April!$AH$85</definedName>
    <definedName name="Monat.FerienKor.Total" localSheetId="8">August!$AI$85</definedName>
    <definedName name="Monat.FerienKor.Total" localSheetId="12">Dezember!$AI$85</definedName>
    <definedName name="Monat.FerienKor.Total" localSheetId="2">Februar!$AF$85</definedName>
    <definedName name="Monat.FerienKor.Total" localSheetId="1">Januar!$AI$85</definedName>
    <definedName name="Monat.FerienKor.Total" localSheetId="7">Juli!$AI$85</definedName>
    <definedName name="Monat.FerienKor.Total" localSheetId="6">Juni!$AH$85</definedName>
    <definedName name="Monat.FerienKor.Total" localSheetId="5">Mai!$AI$85</definedName>
    <definedName name="Monat.FerienKor.Total" localSheetId="3">März!$AI$85</definedName>
    <definedName name="Monat.FerienKor.Total" localSheetId="11">November!$AH$85</definedName>
    <definedName name="Monat.FerienKor.Total" localSheetId="10">Oktober!$AI$85</definedName>
    <definedName name="Monat.FerienKor.Total" localSheetId="9">September!$AH$85</definedName>
    <definedName name="Monat.FerienText" localSheetId="4">April!$A$84</definedName>
    <definedName name="Monat.FerienText" localSheetId="8">August!$A$84</definedName>
    <definedName name="Monat.FerienText" localSheetId="12">Dezember!$A$84</definedName>
    <definedName name="Monat.FerienText" localSheetId="2">Februar!$A$84</definedName>
    <definedName name="Monat.FerienText" localSheetId="1">Januar!$A$84</definedName>
    <definedName name="Monat.FerienText" localSheetId="7">Juli!$A$84</definedName>
    <definedName name="Monat.FerienText" localSheetId="6">Juni!$A$84</definedName>
    <definedName name="Monat.FerienText" localSheetId="5">Mai!$A$84</definedName>
    <definedName name="Monat.FerienText" localSheetId="3">März!$A$84</definedName>
    <definedName name="Monat.FerienText" localSheetId="11">November!$A$84</definedName>
    <definedName name="Monat.FerienText" localSheetId="10">Oktober!$A$84</definedName>
    <definedName name="Monat.FerienText" localSheetId="9">September!$A$84</definedName>
    <definedName name="Monat.FerienUeVM" localSheetId="4">April!$AM$84</definedName>
    <definedName name="Monat.FerienUeVM" localSheetId="8">August!$AN$84</definedName>
    <definedName name="Monat.FerienUeVM" localSheetId="12">Dezember!$AN$84</definedName>
    <definedName name="Monat.FerienUeVM" localSheetId="2">Februar!$AK$84</definedName>
    <definedName name="Monat.FerienUeVM" localSheetId="1">Januar!$AN$84</definedName>
    <definedName name="Monat.FerienUeVM" localSheetId="7">Juli!$AN$84</definedName>
    <definedName name="Monat.FerienUeVM" localSheetId="6">Juni!$AM$84</definedName>
    <definedName name="Monat.FerienUeVM" localSheetId="5">Mai!$AN$84</definedName>
    <definedName name="Monat.FerienUeVM" localSheetId="3">März!$AN$84</definedName>
    <definedName name="Monat.FerienUeVM" localSheetId="11">November!$AM$84</definedName>
    <definedName name="Monat.FerienUeVM" localSheetId="10">Oktober!$AN$84</definedName>
    <definedName name="Monat.FerienUeVM" localSheetId="9">September!$AM$84</definedName>
    <definedName name="Monat.Kom.JS" localSheetId="4">April!$AN$67</definedName>
    <definedName name="Monat.Kom.JS" localSheetId="8">August!$AO$67</definedName>
    <definedName name="Monat.Kom.JS" localSheetId="12">Dezember!$AO$67</definedName>
    <definedName name="Monat.Kom.JS" localSheetId="2">Februar!$AL$67</definedName>
    <definedName name="Monat.Kom.JS" localSheetId="1">Januar!$AO$67</definedName>
    <definedName name="Monat.Kom.JS" localSheetId="7">Juli!$AO$67</definedName>
    <definedName name="Monat.Kom.JS" localSheetId="6">Juni!$AN$67</definedName>
    <definedName name="Monat.Kom.JS" localSheetId="5">Mai!$AO$67</definedName>
    <definedName name="Monat.Kom.JS" localSheetId="3">März!$AO$67</definedName>
    <definedName name="Monat.Kom.JS" localSheetId="11">November!$AN$67</definedName>
    <definedName name="Monat.Kom.JS" localSheetId="10">Oktober!$AO$67</definedName>
    <definedName name="Monat.Kom.JS" localSheetId="9">September!$AN$67</definedName>
    <definedName name="Monat.KomAZ.Total" localSheetId="4">April!$AH$67</definedName>
    <definedName name="Monat.KomAZ.Total" localSheetId="8">August!$AI$67</definedName>
    <definedName name="Monat.KomAZ.Total" localSheetId="12">Dezember!$AI$67</definedName>
    <definedName name="Monat.KomAZ.Total" localSheetId="2">Februar!$AF$67</definedName>
    <definedName name="Monat.KomAZ.Total" localSheetId="1">Januar!$AI$67</definedName>
    <definedName name="Monat.KomAZ.Total" localSheetId="7">Juli!$AI$67</definedName>
    <definedName name="Monat.KomAZ.Total" localSheetId="6">Juni!$AH$67</definedName>
    <definedName name="Monat.KomAZ.Total" localSheetId="5">Mai!$AI$67</definedName>
    <definedName name="Monat.KomAZ.Total" localSheetId="3">März!$AI$67</definedName>
    <definedName name="Monat.KomAZ.Total" localSheetId="11">November!$AH$67</definedName>
    <definedName name="Monat.KomAZ.Total" localSheetId="10">Oktober!$AI$67</definedName>
    <definedName name="Monat.KomAZ.Total" localSheetId="9">September!$AH$67</definedName>
    <definedName name="Monat.KomAZText" localSheetId="4">April!$A$67</definedName>
    <definedName name="Monat.KomAZText" localSheetId="8">August!$A$67</definedName>
    <definedName name="Monat.KomAZText" localSheetId="12">Dezember!$A$67</definedName>
    <definedName name="Monat.KomAZText" localSheetId="2">Februar!$A$67</definedName>
    <definedName name="Monat.KomAZText" localSheetId="1">Januar!$A$67</definedName>
    <definedName name="Monat.KomAZText" localSheetId="7">Juli!$A$67</definedName>
    <definedName name="Monat.KomAZText" localSheetId="6">Juni!$A$67</definedName>
    <definedName name="Monat.KomAZText" localSheetId="5">Mai!$A$67</definedName>
    <definedName name="Monat.KomAZText" localSheetId="3">März!$A$67</definedName>
    <definedName name="Monat.KomAZText" localSheetId="11">November!$A$67</definedName>
    <definedName name="Monat.KomAZText" localSheetId="10">Oktober!$A$67</definedName>
    <definedName name="Monat.KomAZText" localSheetId="9">September!$A$67</definedName>
    <definedName name="Monat.KompAZInd.UeVM" localSheetId="4">April!$AM$68</definedName>
    <definedName name="Monat.KompAZInd.UeVM" localSheetId="8">August!$AN$68</definedName>
    <definedName name="Monat.KompAZInd.UeVM" localSheetId="12">Dezember!$AN$68</definedName>
    <definedName name="Monat.KompAZInd.UeVM" localSheetId="2">Februar!$AK$68</definedName>
    <definedName name="Monat.KompAZInd.UeVM" localSheetId="1">Januar!$AN$68</definedName>
    <definedName name="Monat.KompAZInd.UeVM" localSheetId="7">Juli!$AN$68</definedName>
    <definedName name="Monat.KompAZInd.UeVM" localSheetId="6">Juni!$AM$68</definedName>
    <definedName name="Monat.KompAZInd.UeVM" localSheetId="5">Mai!$AN$68</definedName>
    <definedName name="Monat.KompAZInd.UeVM" localSheetId="3">März!$AN$68</definedName>
    <definedName name="Monat.KompAZInd.UeVM" localSheetId="11">November!$AM$68</definedName>
    <definedName name="Monat.KompAZInd.UeVM" localSheetId="10">Oktober!$AN$68</definedName>
    <definedName name="Monat.KompAZInd.UeVM" localSheetId="9">September!$AM$68</definedName>
    <definedName name="Monat.KompZZSND.Total" localSheetId="4">April!$AH$71</definedName>
    <definedName name="Monat.KompZZSND.Total" localSheetId="8">August!$AI$71</definedName>
    <definedName name="Monat.KompZZSND.Total" localSheetId="12">Dezember!$AI$71</definedName>
    <definedName name="Monat.KompZZSND.Total" localSheetId="2">Februar!$AF$71</definedName>
    <definedName name="Monat.KompZZSND.Total" localSheetId="1">Januar!$AI$71</definedName>
    <definedName name="Monat.KompZZSND.Total" localSheetId="7">Juli!$AI$71</definedName>
    <definedName name="Monat.KompZZSND.Total" localSheetId="6">Juni!$AH$71</definedName>
    <definedName name="Monat.KompZZSND.Total" localSheetId="5">Mai!$AI$71</definedName>
    <definedName name="Monat.KompZZSND.Total" localSheetId="3">März!$AI$71</definedName>
    <definedName name="Monat.KompZZSND.Total" localSheetId="11">November!$AH$71</definedName>
    <definedName name="Monat.KompZZSND.Total" localSheetId="10">Oktober!$AI$71</definedName>
    <definedName name="Monat.KompZZSND.Total" localSheetId="9">September!$AH$71</definedName>
    <definedName name="Monat.KompZZSNDText" localSheetId="4">April!$A$71</definedName>
    <definedName name="Monat.KompZZSNDText" localSheetId="8">August!$A$71</definedName>
    <definedName name="Monat.KompZZSNDText" localSheetId="12">Dezember!$A$71</definedName>
    <definedName name="Monat.KompZZSNDText" localSheetId="2">Februar!$A$71</definedName>
    <definedName name="Monat.KompZZSNDText" localSheetId="1">Januar!$A$71</definedName>
    <definedName name="Monat.KompZZSNDText" localSheetId="7">Juli!$A$71</definedName>
    <definedName name="Monat.KompZZSNDText" localSheetId="6">Juni!$A$71</definedName>
    <definedName name="Monat.KompZZSNDText" localSheetId="5">Mai!$A$71</definedName>
    <definedName name="Monat.KompZZSNDText" localSheetId="3">März!$A$71</definedName>
    <definedName name="Monat.KompZZSNDText" localSheetId="11">November!$A$71</definedName>
    <definedName name="Monat.KompZZSNDText" localSheetId="10">Oktober!$A$71</definedName>
    <definedName name="Monat.KompZZSNDText" localSheetId="9">September!$A$71</definedName>
    <definedName name="Monat.KompZZSNDUeVM" localSheetId="4">April!$AM$71</definedName>
    <definedName name="Monat.KompZZSNDUeVM" localSheetId="8">August!$AN$71</definedName>
    <definedName name="Monat.KompZZSNDUeVM" localSheetId="12">Dezember!$AN$71</definedName>
    <definedName name="Monat.KompZZSNDUeVM" localSheetId="2">Februar!$AK$71</definedName>
    <definedName name="Monat.KompZZSNDUeVM" localSheetId="1">Januar!$AN$71</definedName>
    <definedName name="Monat.KompZZSNDUeVM" localSheetId="7">Juli!$AN$71</definedName>
    <definedName name="Monat.KompZZSNDUeVM" localSheetId="6">Juni!$AM$71</definedName>
    <definedName name="Monat.KompZZSNDUeVM" localSheetId="5">Mai!$AN$71</definedName>
    <definedName name="Monat.KompZZSNDUeVM" localSheetId="3">März!$AN$71</definedName>
    <definedName name="Monat.KompZZSNDUeVM" localSheetId="11">November!$AM$71</definedName>
    <definedName name="Monat.KompZZSNDUeVM" localSheetId="10">Oktober!$AN$71</definedName>
    <definedName name="Monat.KompZZSNDUeVM" localSheetId="9">September!$AM$71</definedName>
    <definedName name="Monat.KomUeVM" localSheetId="4">April!$AM$67</definedName>
    <definedName name="Monat.KomUeVM" localSheetId="8">August!$AN$67</definedName>
    <definedName name="Monat.KomUeVM" localSheetId="12">Dezember!$AN$67</definedName>
    <definedName name="Monat.KomUeVM" localSheetId="2">Februar!$AK$67</definedName>
    <definedName name="Monat.KomUeVM" localSheetId="1">Januar!$AN$67</definedName>
    <definedName name="Monat.KomUeVM" localSheetId="7">Juli!$AN$67</definedName>
    <definedName name="Monat.KomUeVM" localSheetId="6">Juni!$AM$67</definedName>
    <definedName name="Monat.KomUeVM" localSheetId="5">Mai!$AN$67</definedName>
    <definedName name="Monat.KomUeVM" localSheetId="3">März!$AN$67</definedName>
    <definedName name="Monat.KomUeVM" localSheetId="11">November!$AM$67</definedName>
    <definedName name="Monat.KomUeVM" localSheetId="10">Oktober!$AN$67</definedName>
    <definedName name="Monat.KomUeVM" localSheetId="9">September!$AM$67</definedName>
    <definedName name="Monat.KomUeZ.Total" localSheetId="4">April!$AH$61</definedName>
    <definedName name="Monat.KomUeZ.Total" localSheetId="8">August!$AI$61</definedName>
    <definedName name="Monat.KomUeZ.Total" localSheetId="12">Dezember!$AI$61</definedName>
    <definedName name="Monat.KomUeZ.Total" localSheetId="2">Februar!$AF$61</definedName>
    <definedName name="Monat.KomUeZ.Total" localSheetId="1">Januar!$AI$61</definedName>
    <definedName name="Monat.KomUeZ.Total" localSheetId="7">Juli!$AI$61</definedName>
    <definedName name="Monat.KomUeZ.Total" localSheetId="6">Juni!$AH$61</definedName>
    <definedName name="Monat.KomUeZ.Total" localSheetId="5">Mai!$AI$61</definedName>
    <definedName name="Monat.KomUeZ.Total" localSheetId="3">März!$AI$61</definedName>
    <definedName name="Monat.KomUeZ.Total" localSheetId="11">November!$AH$61</definedName>
    <definedName name="Monat.KomUeZ.Total" localSheetId="10">Oktober!$AI$61</definedName>
    <definedName name="Monat.KomUeZ.Total" localSheetId="9">September!$AH$61</definedName>
    <definedName name="Monat.KomUeZText" localSheetId="4">April!$A$61</definedName>
    <definedName name="Monat.KomUeZText" localSheetId="8">August!$A$61</definedName>
    <definedName name="Monat.KomUeZText" localSheetId="12">Dezember!$A$61</definedName>
    <definedName name="Monat.KomUeZText" localSheetId="2">Februar!$A$61</definedName>
    <definedName name="Monat.KomUeZText" localSheetId="1">Januar!$A$61</definedName>
    <definedName name="Monat.KomUeZText" localSheetId="7">Juli!$A$61</definedName>
    <definedName name="Monat.KomUeZText" localSheetId="6">Juni!$A$61</definedName>
    <definedName name="Monat.KomUeZText" localSheetId="5">Mai!$A$61</definedName>
    <definedName name="Monat.KomUeZText" localSheetId="3">März!$A$61</definedName>
    <definedName name="Monat.KomUeZText" localSheetId="11">November!$A$61</definedName>
    <definedName name="Monat.KomUeZText" localSheetId="10">Oktober!$A$61</definedName>
    <definedName name="Monat.KomUeZText" localSheetId="9">September!$A$61</definedName>
    <definedName name="Monat.Krank.Total" localSheetId="4">April!$AH$87</definedName>
    <definedName name="Monat.Krank.Total" localSheetId="8">August!$AI$87</definedName>
    <definedName name="Monat.Krank.Total" localSheetId="12">Dezember!$AI$87</definedName>
    <definedName name="Monat.Krank.Total" localSheetId="2">Februar!$AF$87</definedName>
    <definedName name="Monat.Krank.Total" localSheetId="1">Januar!$AI$87</definedName>
    <definedName name="Monat.Krank.Total" localSheetId="7">Juli!$AI$87</definedName>
    <definedName name="Monat.Krank.Total" localSheetId="6">Juni!$AH$87</definedName>
    <definedName name="Monat.Krank.Total" localSheetId="5">Mai!$AI$87</definedName>
    <definedName name="Monat.Krank.Total" localSheetId="3">März!$AI$87</definedName>
    <definedName name="Monat.Krank.Total" localSheetId="11">November!$AH$87</definedName>
    <definedName name="Monat.Krank.Total" localSheetId="10">Oktober!$AI$87</definedName>
    <definedName name="Monat.Krank.Total" localSheetId="9">September!$AH$87</definedName>
    <definedName name="Monat.KrankText" localSheetId="4">April!$A$87</definedName>
    <definedName name="Monat.KrankText" localSheetId="8">August!$A$87</definedName>
    <definedName name="Monat.KrankText" localSheetId="12">Dezember!$A$87</definedName>
    <definedName name="Monat.KrankText" localSheetId="2">Februar!$A$87</definedName>
    <definedName name="Monat.KrankText" localSheetId="1">Januar!$A$87</definedName>
    <definedName name="Monat.KrankText" localSheetId="7">Juli!$A$87</definedName>
    <definedName name="Monat.KrankText" localSheetId="6">Juni!$A$87</definedName>
    <definedName name="Monat.KrankText" localSheetId="5">Mai!$A$87</definedName>
    <definedName name="Monat.KrankText" localSheetId="3">März!$A$87</definedName>
    <definedName name="Monat.KrankText" localSheetId="11">November!$A$87</definedName>
    <definedName name="Monat.KrankText" localSheetId="10">Oktober!$A$87</definedName>
    <definedName name="Monat.KrankText" localSheetId="9">September!$A$87</definedName>
    <definedName name="Monat.KrankUeVM" localSheetId="4">April!$AM$87</definedName>
    <definedName name="Monat.KrankUeVM" localSheetId="8">August!$AN$87</definedName>
    <definedName name="Monat.KrankUeVM" localSheetId="12">Dezember!$AN$87</definedName>
    <definedName name="Monat.KrankUeVM" localSheetId="2">Februar!$AK$87</definedName>
    <definedName name="Monat.KrankUeVM" localSheetId="1">Januar!$AN$87</definedName>
    <definedName name="Monat.KrankUeVM" localSheetId="7">Juli!$AN$87</definedName>
    <definedName name="Monat.KrankUeVM" localSheetId="6">Juni!$AM$87</definedName>
    <definedName name="Monat.KrankUeVM" localSheetId="5">Mai!$AN$87</definedName>
    <definedName name="Monat.KrankUeVM" localSheetId="3">März!$AN$87</definedName>
    <definedName name="Monat.KrankUeVM" localSheetId="11">November!$AM$87</definedName>
    <definedName name="Monat.KrankUeVM" localSheetId="10">Oktober!$AN$87</definedName>
    <definedName name="Monat.KrankUeVM" localSheetId="9">September!$AM$87</definedName>
    <definedName name="Monat.Militaer.Total" localSheetId="4">April!$AH$90</definedName>
    <definedName name="Monat.Militaer.Total" localSheetId="8">August!$AI$90</definedName>
    <definedName name="Monat.Militaer.Total" localSheetId="12">Dezember!$AI$90</definedName>
    <definedName name="Monat.Militaer.Total" localSheetId="2">Februar!$AF$90</definedName>
    <definedName name="Monat.Militaer.Total" localSheetId="1">Januar!$AI$90</definedName>
    <definedName name="Monat.Militaer.Total" localSheetId="7">Juli!$AI$90</definedName>
    <definedName name="Monat.Militaer.Total" localSheetId="6">Juni!$AH$90</definedName>
    <definedName name="Monat.Militaer.Total" localSheetId="5">Mai!$AI$90</definedName>
    <definedName name="Monat.Militaer.Total" localSheetId="3">März!$AI$90</definedName>
    <definedName name="Monat.Militaer.Total" localSheetId="11">November!$AH$90</definedName>
    <definedName name="Monat.Militaer.Total" localSheetId="10">Oktober!$AI$90</definedName>
    <definedName name="Monat.Militaer.Total" localSheetId="9">September!$AH$90</definedName>
    <definedName name="Monat.MMS.Total" localSheetId="4">April!$AH$58</definedName>
    <definedName name="Monat.MMS.Total" localSheetId="8">August!$AI$58</definedName>
    <definedName name="Monat.MMS.Total" localSheetId="12">Dezember!$AI$58</definedName>
    <definedName name="Monat.MMS.Total" localSheetId="2">Februar!$AF$58</definedName>
    <definedName name="Monat.MMS.Total" localSheetId="1">Januar!$AI$58</definedName>
    <definedName name="Monat.MMS.Total" localSheetId="7">Juli!$AI$58</definedName>
    <definedName name="Monat.MMS.Total" localSheetId="6">Juni!$AH$58</definedName>
    <definedName name="Monat.MMS.Total" localSheetId="5">Mai!$AI$58</definedName>
    <definedName name="Monat.MMS.Total" localSheetId="3">März!$AI$58</definedName>
    <definedName name="Monat.MMS.Total" localSheetId="11">November!$AH$58</definedName>
    <definedName name="Monat.MMS.Total" localSheetId="10">Oktober!$AI$58</definedName>
    <definedName name="Monat.MMS.Total" localSheetId="9">September!$AH$58</definedName>
    <definedName name="Monat.MMS.UeVM" localSheetId="4">April!$AM$58</definedName>
    <definedName name="Monat.MMS.UeVM" localSheetId="8">August!$AN$58</definedName>
    <definedName name="Monat.MMS.UeVM" localSheetId="12">Dezember!$AN$58</definedName>
    <definedName name="Monat.MMS.UeVM" localSheetId="2">Februar!$AK$58</definedName>
    <definedName name="Monat.MMS.UeVM" localSheetId="1">Januar!$AN$58</definedName>
    <definedName name="Monat.MMS.UeVM" localSheetId="7">Juli!$AN$58</definedName>
    <definedName name="Monat.MMS.UeVM" localSheetId="6">Juni!$AM$58</definedName>
    <definedName name="Monat.MMS.UeVM" localSheetId="5">Mai!$AN$58</definedName>
    <definedName name="Monat.MMS.UeVM" localSheetId="3">März!$AN$58</definedName>
    <definedName name="Monat.MMS.UeVM" localSheetId="11">November!$AM$58</definedName>
    <definedName name="Monat.MMS.UeVM" localSheetId="10">Oktober!$AN$58</definedName>
    <definedName name="Monat.MMS.UeVM" localSheetId="9">September!$AM$58</definedName>
    <definedName name="Monat.MZSText" localSheetId="4">April!$A$90</definedName>
    <definedName name="Monat.MZSText" localSheetId="8">August!$A$90</definedName>
    <definedName name="Monat.MZSText" localSheetId="12">Dezember!$A$90</definedName>
    <definedName name="Monat.MZSText" localSheetId="2">Februar!$A$90</definedName>
    <definedName name="Monat.MZSText" localSheetId="1">Januar!$A$90</definedName>
    <definedName name="Monat.MZSText" localSheetId="7">Juli!$A$90</definedName>
    <definedName name="Monat.MZSText" localSheetId="6">Juni!$A$90</definedName>
    <definedName name="Monat.MZSText" localSheetId="5">Mai!$A$90</definedName>
    <definedName name="Monat.MZSText" localSheetId="3">März!$A$90</definedName>
    <definedName name="Monat.MZSText" localSheetId="11">November!$A$90</definedName>
    <definedName name="Monat.MZSText" localSheetId="10">Oktober!$A$90</definedName>
    <definedName name="Monat.MZSText" localSheetId="9">September!$A$90</definedName>
    <definedName name="Monat.MZSUeVM" localSheetId="4">April!$AM$90</definedName>
    <definedName name="Monat.MZSUeVM" localSheetId="8">August!$AN$90</definedName>
    <definedName name="Monat.MZSUeVM" localSheetId="12">Dezember!$AN$90</definedName>
    <definedName name="Monat.MZSUeVM" localSheetId="2">Februar!$AK$90</definedName>
    <definedName name="Monat.MZSUeVM" localSheetId="1">Januar!$AN$90</definedName>
    <definedName name="Monat.MZSUeVM" localSheetId="7">Juli!$AN$90</definedName>
    <definedName name="Monat.MZSUeVM" localSheetId="6">Juni!$AM$90</definedName>
    <definedName name="Monat.MZSUeVM" localSheetId="5">Mai!$AN$90</definedName>
    <definedName name="Monat.MZSUeVM" localSheetId="3">März!$AN$90</definedName>
    <definedName name="Monat.MZSUeVM" localSheetId="11">November!$AM$90</definedName>
    <definedName name="Monat.MZSUeVM" localSheetId="10">Oktober!$AN$90</definedName>
    <definedName name="Monat.MZSUeVM" localSheetId="9">September!$AM$90</definedName>
    <definedName name="Monat.NB.Total" localSheetId="4">April!$AH$94</definedName>
    <definedName name="Monat.NB.Total" localSheetId="8">August!$AI$94</definedName>
    <definedName name="Monat.NB.Total" localSheetId="12">Dezember!$AI$94</definedName>
    <definedName name="Monat.NB.Total" localSheetId="2">Februar!$AF$94</definedName>
    <definedName name="Monat.NB.Total" localSheetId="1">Januar!$AI$94</definedName>
    <definedName name="Monat.NB.Total" localSheetId="7">Juli!$AI$94</definedName>
    <definedName name="Monat.NB.Total" localSheetId="6">Juni!$AH$94</definedName>
    <definedName name="Monat.NB.Total" localSheetId="5">Mai!$AI$94</definedName>
    <definedName name="Monat.NB.Total" localSheetId="3">März!$AI$94</definedName>
    <definedName name="Monat.NB.Total" localSheetId="11">November!$AH$94</definedName>
    <definedName name="Monat.NB.Total" localSheetId="10">Oktober!$AI$94</definedName>
    <definedName name="Monat.NB.Total" localSheetId="9">September!$AH$94</definedName>
    <definedName name="Monat.NBText" localSheetId="4">April!$A$94</definedName>
    <definedName name="Monat.NBText" localSheetId="8">August!$A$94</definedName>
    <definedName name="Monat.NBText" localSheetId="12">Dezember!$A$94</definedName>
    <definedName name="Monat.NBText" localSheetId="2">Februar!$A$94</definedName>
    <definedName name="Monat.NBText" localSheetId="1">Januar!$A$94</definedName>
    <definedName name="Monat.NBText" localSheetId="7">Juli!$A$94</definedName>
    <definedName name="Monat.NBText" localSheetId="6">Juni!$A$94</definedName>
    <definedName name="Monat.NBText" localSheetId="5">Mai!$A$94</definedName>
    <definedName name="Monat.NBText" localSheetId="3">März!$A$94</definedName>
    <definedName name="Monat.NBText" localSheetId="11">November!$A$94</definedName>
    <definedName name="Monat.NBText" localSheetId="10">Oktober!$A$94</definedName>
    <definedName name="Monat.NBText" localSheetId="9">September!$A$94</definedName>
    <definedName name="Monat.NBU.Total" localSheetId="4">April!$AH$89</definedName>
    <definedName name="Monat.NBU.Total" localSheetId="8">August!$AI$89</definedName>
    <definedName name="Monat.NBU.Total" localSheetId="12">Dezember!$AI$89</definedName>
    <definedName name="Monat.NBU.Total" localSheetId="2">Februar!$AF$89</definedName>
    <definedName name="Monat.NBU.Total" localSheetId="1">Januar!$AI$89</definedName>
    <definedName name="Monat.NBU.Total" localSheetId="7">Juli!$AI$89</definedName>
    <definedName name="Monat.NBU.Total" localSheetId="6">Juni!$AH$89</definedName>
    <definedName name="Monat.NBU.Total" localSheetId="5">Mai!$AI$89</definedName>
    <definedName name="Monat.NBU.Total" localSheetId="3">März!$AI$89</definedName>
    <definedName name="Monat.NBU.Total" localSheetId="11">November!$AH$89</definedName>
    <definedName name="Monat.NBU.Total" localSheetId="10">Oktober!$AI$89</definedName>
    <definedName name="Monat.NBU.Total" localSheetId="9">September!$AH$89</definedName>
    <definedName name="Monat.NBUeVM" localSheetId="4">April!$AM$94</definedName>
    <definedName name="Monat.NBUeVM" localSheetId="8">August!$AN$94</definedName>
    <definedName name="Monat.NBUeVM" localSheetId="12">Dezember!$AN$94</definedName>
    <definedName name="Monat.NBUeVM" localSheetId="2">Februar!$AK$94</definedName>
    <definedName name="Monat.NBUeVM" localSheetId="1">Januar!$AN$94</definedName>
    <definedName name="Monat.NBUeVM" localSheetId="7">Juli!$AN$94</definedName>
    <definedName name="Monat.NBUeVM" localSheetId="6">Juni!$AM$94</definedName>
    <definedName name="Monat.NBUeVM" localSheetId="5">Mai!$AN$94</definedName>
    <definedName name="Monat.NBUeVM" localSheetId="3">März!$AN$94</definedName>
    <definedName name="Monat.NBUeVM" localSheetId="11">November!$AM$94</definedName>
    <definedName name="Monat.NBUeVM" localSheetId="10">Oktober!$AN$94</definedName>
    <definedName name="Monat.NBUeVM" localSheetId="9">September!$AM$94</definedName>
    <definedName name="Monat.NBUText" localSheetId="4">April!$A$89</definedName>
    <definedName name="Monat.NBUText" localSheetId="8">August!$A$89</definedName>
    <definedName name="Monat.NBUText" localSheetId="12">Dezember!$A$89</definedName>
    <definedName name="Monat.NBUText" localSheetId="2">Februar!$A$89</definedName>
    <definedName name="Monat.NBUText" localSheetId="1">Januar!$A$89</definedName>
    <definedName name="Monat.NBUText" localSheetId="7">Juli!$A$89</definedName>
    <definedName name="Monat.NBUText" localSheetId="6">Juni!$A$89</definedName>
    <definedName name="Monat.NBUText" localSheetId="5">Mai!$A$89</definedName>
    <definedName name="Monat.NBUText" localSheetId="3">März!$A$89</definedName>
    <definedName name="Monat.NBUText" localSheetId="11">November!$A$89</definedName>
    <definedName name="Monat.NBUText" localSheetId="10">Oktober!$A$89</definedName>
    <definedName name="Monat.NBUText" localSheetId="9">September!$A$89</definedName>
    <definedName name="Monat.NBUUeVM" localSheetId="4">April!$AM$89</definedName>
    <definedName name="Monat.NBUUeVM" localSheetId="8">August!$AN$89</definedName>
    <definedName name="Monat.NBUUeVM" localSheetId="12">Dezember!$AN$89</definedName>
    <definedName name="Monat.NBUUeVM" localSheetId="2">Februar!$AK$89</definedName>
    <definedName name="Monat.NBUUeVM" localSheetId="1">Januar!$AN$89</definedName>
    <definedName name="Monat.NBUUeVM" localSheetId="7">Juli!$AN$89</definedName>
    <definedName name="Monat.NBUUeVM" localSheetId="6">Juni!$AM$89</definedName>
    <definedName name="Monat.NBUUeVM" localSheetId="5">Mai!$AN$89</definedName>
    <definedName name="Monat.NBUUeVM" localSheetId="3">März!$AN$89</definedName>
    <definedName name="Monat.NBUUeVM" localSheetId="11">November!$AM$89</definedName>
    <definedName name="Monat.NBUUeVM" localSheetId="10">Oktober!$AN$89</definedName>
    <definedName name="Monat.NBUUeVM" localSheetId="9">September!$AM$89</definedName>
    <definedName name="Monat.ND.Total" localSheetId="4">April!$AH$73</definedName>
    <definedName name="Monat.ND.Total" localSheetId="8">August!$AI$73</definedName>
    <definedName name="Monat.ND.Total" localSheetId="12">Dezember!$AI$73</definedName>
    <definedName name="Monat.ND.Total" localSheetId="2">Februar!$AF$73</definedName>
    <definedName name="Monat.ND.Total" localSheetId="1">Januar!$AI$73</definedName>
    <definedName name="Monat.ND.Total" localSheetId="7">Juli!$AI$73</definedName>
    <definedName name="Monat.ND.Total" localSheetId="6">Juni!$AH$73</definedName>
    <definedName name="Monat.ND.Total" localSheetId="5">Mai!$AI$73</definedName>
    <definedName name="Monat.ND.Total" localSheetId="3">März!$AI$73</definedName>
    <definedName name="Monat.ND.Total" localSheetId="11">November!$AH$73</definedName>
    <definedName name="Monat.ND.Total" localSheetId="10">Oktober!$AI$73</definedName>
    <definedName name="Monat.ND.Total" localSheetId="9">September!$AH$73</definedName>
    <definedName name="Monat.NDgesternTag1" localSheetId="4">April!$B$76</definedName>
    <definedName name="Monat.NDgesternTag1" localSheetId="8">August!$B$76</definedName>
    <definedName name="Monat.NDgesternTag1" localSheetId="12">Dezember!$B$76</definedName>
    <definedName name="Monat.NDgesternTag1" localSheetId="2">Februar!$B$76</definedName>
    <definedName name="Monat.NDgesternTag1" localSheetId="1">Januar!$B$76</definedName>
    <definedName name="Monat.NDgesternTag1" localSheetId="7">Juli!$B$76</definedName>
    <definedName name="Monat.NDgesternTag1" localSheetId="6">Juni!$B$76</definedName>
    <definedName name="Monat.NDgesternTag1" localSheetId="5">Mai!$B$76</definedName>
    <definedName name="Monat.NDgesternTag1" localSheetId="3">März!$B$76</definedName>
    <definedName name="Monat.NDgesternTag1" localSheetId="11">November!$B$76</definedName>
    <definedName name="Monat.NDgesternTag1" localSheetId="10">Oktober!$B$76</definedName>
    <definedName name="Monat.NDgesternTag1" localSheetId="9">September!$B$76</definedName>
    <definedName name="Monat.NDText" localSheetId="4">April!$A$73</definedName>
    <definedName name="Monat.NDText" localSheetId="8">August!$A$73</definedName>
    <definedName name="Monat.NDText" localSheetId="12">Dezember!$A$73</definedName>
    <definedName name="Monat.NDText" localSheetId="2">Februar!$A$73</definedName>
    <definedName name="Monat.NDText" localSheetId="1">Januar!$A$73</definedName>
    <definedName name="Monat.NDText" localSheetId="7">Juli!$A$73</definedName>
    <definedName name="Monat.NDText" localSheetId="6">Juni!$A$73</definedName>
    <definedName name="Monat.NDText" localSheetId="5">Mai!$A$73</definedName>
    <definedName name="Monat.NDText" localSheetId="3">März!$A$73</definedName>
    <definedName name="Monat.NDText" localSheetId="11">November!$A$73</definedName>
    <definedName name="Monat.NDText" localSheetId="10">Oktober!$A$73</definedName>
    <definedName name="Monat.NDText" localSheetId="9">September!$A$73</definedName>
    <definedName name="Monat.NDUeVM" localSheetId="4">April!$AM$73</definedName>
    <definedName name="Monat.NDUeVM" localSheetId="8">August!$AN$73</definedName>
    <definedName name="Monat.NDUeVM" localSheetId="12">Dezember!$AN$73</definedName>
    <definedName name="Monat.NDUeVM" localSheetId="2">Februar!$AK$73</definedName>
    <definedName name="Monat.NDUeVM" localSheetId="1">Januar!$AN$73</definedName>
    <definedName name="Monat.NDUeVM" localSheetId="7">Juli!$AN$73</definedName>
    <definedName name="Monat.NDUeVM" localSheetId="6">Juni!$AM$73</definedName>
    <definedName name="Monat.NDUeVM" localSheetId="5">Mai!$AN$73</definedName>
    <definedName name="Monat.NDUeVM" localSheetId="3">März!$AN$73</definedName>
    <definedName name="Monat.NDUeVM" localSheetId="11">November!$AM$73</definedName>
    <definedName name="Monat.NDUeVM" localSheetId="10">Oktober!$AN$73</definedName>
    <definedName name="Monat.NDUeVM" localSheetId="9">September!$AM$73</definedName>
    <definedName name="Monat.P10UeVM" localSheetId="4">April!$AM$106</definedName>
    <definedName name="Monat.P10UeVM" localSheetId="8">August!$AN$106</definedName>
    <definedName name="Monat.P10UeVM" localSheetId="12">Dezember!$AN$106</definedName>
    <definedName name="Monat.P10UeVM" localSheetId="2">Februar!$AK$106</definedName>
    <definedName name="Monat.P10UeVM" localSheetId="1">Januar!$AN$106</definedName>
    <definedName name="Monat.P10UeVM" localSheetId="7">Juli!$AN$106</definedName>
    <definedName name="Monat.P10UeVM" localSheetId="6">Juni!$AM$106</definedName>
    <definedName name="Monat.P10UeVM" localSheetId="5">Mai!$AN$106</definedName>
    <definedName name="Monat.P10UeVM" localSheetId="3">März!$AN$106</definedName>
    <definedName name="Monat.P10UeVM" localSheetId="11">November!$AM$106</definedName>
    <definedName name="Monat.P10UeVM" localSheetId="10">Oktober!$AN$106</definedName>
    <definedName name="Monat.P10UeVM" localSheetId="9">September!$AM$106</definedName>
    <definedName name="Monat.P11UeVM" localSheetId="4">April!$AM$107</definedName>
    <definedName name="Monat.P11UeVM" localSheetId="8">August!$AN$107</definedName>
    <definedName name="Monat.P11UeVM" localSheetId="12">Dezember!$AN$107</definedName>
    <definedName name="Monat.P11UeVM" localSheetId="2">Februar!$AK$107</definedName>
    <definedName name="Monat.P11UeVM" localSheetId="1">Januar!$AN$107</definedName>
    <definedName name="Monat.P11UeVM" localSheetId="7">Juli!$AN$107</definedName>
    <definedName name="Monat.P11UeVM" localSheetId="6">Juni!$AM$107</definedName>
    <definedName name="Monat.P11UeVM" localSheetId="5">Mai!$AN$107</definedName>
    <definedName name="Monat.P11UeVM" localSheetId="3">März!$AN$107</definedName>
    <definedName name="Monat.P11UeVM" localSheetId="11">November!$AM$107</definedName>
    <definedName name="Monat.P11UeVM" localSheetId="10">Oktober!$AN$107</definedName>
    <definedName name="Monat.P11UeVM" localSheetId="9">September!$AM$107</definedName>
    <definedName name="Monat.P12UeVM" localSheetId="4">April!$AM$108</definedName>
    <definedName name="Monat.P12UeVM" localSheetId="8">August!$AN$108</definedName>
    <definedName name="Monat.P12UeVM" localSheetId="12">Dezember!$AN$108</definedName>
    <definedName name="Monat.P12UeVM" localSheetId="2">Februar!$AK$108</definedName>
    <definedName name="Monat.P12UeVM" localSheetId="1">Januar!$AN$108</definedName>
    <definedName name="Monat.P12UeVM" localSheetId="7">Juli!$AN$108</definedName>
    <definedName name="Monat.P12UeVM" localSheetId="6">Juni!$AM$108</definedName>
    <definedName name="Monat.P12UeVM" localSheetId="5">Mai!$AN$108</definedName>
    <definedName name="Monat.P12UeVM" localSheetId="3">März!$AN$108</definedName>
    <definedName name="Monat.P12UeVM" localSheetId="11">November!$AM$108</definedName>
    <definedName name="Monat.P12UeVM" localSheetId="10">Oktober!$AN$108</definedName>
    <definedName name="Monat.P12UeVM" localSheetId="9">September!$AM$108</definedName>
    <definedName name="Monat.P13UeVM" localSheetId="4">April!$AM$109</definedName>
    <definedName name="Monat.P13UeVM" localSheetId="8">August!$AN$109</definedName>
    <definedName name="Monat.P13UeVM" localSheetId="12">Dezember!$AN$109</definedName>
    <definedName name="Monat.P13UeVM" localSheetId="2">Februar!$AK$109</definedName>
    <definedName name="Monat.P13UeVM" localSheetId="1">Januar!$AN$109</definedName>
    <definedName name="Monat.P13UeVM" localSheetId="7">Juli!$AN$109</definedName>
    <definedName name="Monat.P13UeVM" localSheetId="6">Juni!$AM$109</definedName>
    <definedName name="Monat.P13UeVM" localSheetId="5">Mai!$AN$109</definedName>
    <definedName name="Monat.P13UeVM" localSheetId="3">März!$AN$109</definedName>
    <definedName name="Monat.P13UeVM" localSheetId="11">November!$AM$109</definedName>
    <definedName name="Monat.P13UeVM" localSheetId="10">Oktober!$AN$109</definedName>
    <definedName name="Monat.P13UeVM" localSheetId="9">September!$AM$109</definedName>
    <definedName name="Monat.P14UeVM" localSheetId="4">April!$AM$110</definedName>
    <definedName name="Monat.P14UeVM" localSheetId="8">August!$AN$110</definedName>
    <definedName name="Monat.P14UeVM" localSheetId="12">Dezember!$AN$110</definedName>
    <definedName name="Monat.P14UeVM" localSheetId="2">Februar!$AK$110</definedName>
    <definedName name="Monat.P14UeVM" localSheetId="1">Januar!$AN$110</definedName>
    <definedName name="Monat.P14UeVM" localSheetId="7">Juli!$AN$110</definedName>
    <definedName name="Monat.P14UeVM" localSheetId="6">Juni!$AM$110</definedName>
    <definedName name="Monat.P14UeVM" localSheetId="5">Mai!$AN$110</definedName>
    <definedName name="Monat.P14UeVM" localSheetId="3">März!$AN$110</definedName>
    <definedName name="Monat.P14UeVM" localSheetId="11">November!$AM$110</definedName>
    <definedName name="Monat.P14UeVM" localSheetId="10">Oktober!$AN$110</definedName>
    <definedName name="Monat.P14UeVM" localSheetId="9">September!$AM$110</definedName>
    <definedName name="Monat.P15UeVM" localSheetId="4">April!$AM$111</definedName>
    <definedName name="Monat.P15UeVM" localSheetId="8">August!$AN$111</definedName>
    <definedName name="Monat.P15UeVM" localSheetId="12">Dezember!$AN$111</definedName>
    <definedName name="Monat.P15UeVM" localSheetId="2">Februar!$AK$111</definedName>
    <definedName name="Monat.P15UeVM" localSheetId="1">Januar!$AN$111</definedName>
    <definedName name="Monat.P15UeVM" localSheetId="7">Juli!$AN$111</definedName>
    <definedName name="Monat.P15UeVM" localSheetId="6">Juni!$AM$111</definedName>
    <definedName name="Monat.P15UeVM" localSheetId="5">Mai!$AN$111</definedName>
    <definedName name="Monat.P15UeVM" localSheetId="3">März!$AN$111</definedName>
    <definedName name="Monat.P15UeVM" localSheetId="11">November!$AM$111</definedName>
    <definedName name="Monat.P15UeVM" localSheetId="10">Oktober!$AN$111</definedName>
    <definedName name="Monat.P15UeVM" localSheetId="9">September!$AM$111</definedName>
    <definedName name="Monat.P1UeVM" localSheetId="4">April!$AM$97</definedName>
    <definedName name="Monat.P1UeVM" localSheetId="8">August!$AN$97</definedName>
    <definedName name="Monat.P1UeVM" localSheetId="12">Dezember!$AN$97</definedName>
    <definedName name="Monat.P1UeVM" localSheetId="2">Februar!$AK$97</definedName>
    <definedName name="Monat.P1UeVM" localSheetId="1">Januar!$AN$97</definedName>
    <definedName name="Monat.P1UeVM" localSheetId="7">Juli!$AN$97</definedName>
    <definedName name="Monat.P1UeVM" localSheetId="6">Juni!$AM$97</definedName>
    <definedName name="Monat.P1UeVM" localSheetId="5">Mai!$AN$97</definedName>
    <definedName name="Monat.P1UeVM" localSheetId="3">März!$AN$97</definedName>
    <definedName name="Monat.P1UeVM" localSheetId="11">November!$AM$97</definedName>
    <definedName name="Monat.P1UeVM" localSheetId="10">Oktober!$AN$97</definedName>
    <definedName name="Monat.P1UeVM" localSheetId="9">September!$AM$97</definedName>
    <definedName name="Monat.P2UeVM" localSheetId="4">April!$AM$98</definedName>
    <definedName name="Monat.P2UeVM" localSheetId="8">August!$AN$98</definedName>
    <definedName name="Monat.P2UeVM" localSheetId="12">Dezember!$AN$98</definedName>
    <definedName name="Monat.P2UeVM" localSheetId="2">Februar!$AK$98</definedName>
    <definedName name="Monat.P2UeVM" localSheetId="1">Januar!$AN$98</definedName>
    <definedName name="Monat.P2UeVM" localSheetId="7">Juli!$AN$98</definedName>
    <definedName name="Monat.P2UeVM" localSheetId="6">Juni!$AM$98</definedName>
    <definedName name="Monat.P2UeVM" localSheetId="5">Mai!$AN$98</definedName>
    <definedName name="Monat.P2UeVM" localSheetId="3">März!$AN$98</definedName>
    <definedName name="Monat.P2UeVM" localSheetId="11">November!$AM$98</definedName>
    <definedName name="Monat.P2UeVM" localSheetId="10">Oktober!$AN$98</definedName>
    <definedName name="Monat.P2UeVM" localSheetId="9">September!$AM$98</definedName>
    <definedName name="Monat.P3UeVM" localSheetId="4">April!$AM$99</definedName>
    <definedName name="Monat.P3UeVM" localSheetId="8">August!$AN$99</definedName>
    <definedName name="Monat.P3UeVM" localSheetId="12">Dezember!$AN$99</definedName>
    <definedName name="Monat.P3UeVM" localSheetId="2">Februar!$AK$99</definedName>
    <definedName name="Monat.P3UeVM" localSheetId="1">Januar!$AN$99</definedName>
    <definedName name="Monat.P3UeVM" localSheetId="7">Juli!$AN$99</definedName>
    <definedName name="Monat.P3UeVM" localSheetId="6">Juni!$AM$99</definedName>
    <definedName name="Monat.P3UeVM" localSheetId="5">Mai!$AN$99</definedName>
    <definedName name="Monat.P3UeVM" localSheetId="3">März!$AN$99</definedName>
    <definedName name="Monat.P3UeVM" localSheetId="11">November!$AM$99</definedName>
    <definedName name="Monat.P3UeVM" localSheetId="10">Oktober!$AN$99</definedName>
    <definedName name="Monat.P3UeVM" localSheetId="9">September!$AM$99</definedName>
    <definedName name="Monat.P4UeVM" localSheetId="4">April!$AM$100</definedName>
    <definedName name="Monat.P4UeVM" localSheetId="8">August!$AN$100</definedName>
    <definedName name="Monat.P4UeVM" localSheetId="12">Dezember!$AN$100</definedName>
    <definedName name="Monat.P4UeVM" localSheetId="2">Februar!$AK$100</definedName>
    <definedName name="Monat.P4UeVM" localSheetId="1">Januar!$AN$100</definedName>
    <definedName name="Monat.P4UeVM" localSheetId="7">Juli!$AN$100</definedName>
    <definedName name="Monat.P4UeVM" localSheetId="6">Juni!$AM$100</definedName>
    <definedName name="Monat.P4UeVM" localSheetId="5">Mai!$AN$100</definedName>
    <definedName name="Monat.P4UeVM" localSheetId="3">März!$AN$100</definedName>
    <definedName name="Monat.P4UeVM" localSheetId="11">November!$AM$100</definedName>
    <definedName name="Monat.P4UeVM" localSheetId="10">Oktober!$AN$100</definedName>
    <definedName name="Monat.P4UeVM" localSheetId="9">September!$AM$100</definedName>
    <definedName name="Monat.P5UeVM" localSheetId="4">April!$AM$101</definedName>
    <definedName name="Monat.P5UeVM" localSheetId="8">August!$AN$101</definedName>
    <definedName name="Monat.P5UeVM" localSheetId="12">Dezember!$AN$101</definedName>
    <definedName name="Monat.P5UeVM" localSheetId="2">Februar!$AK$101</definedName>
    <definedName name="Monat.P5UeVM" localSheetId="1">Januar!$AN$101</definedName>
    <definedName name="Monat.P5UeVM" localSheetId="7">Juli!$AN$101</definedName>
    <definedName name="Monat.P5UeVM" localSheetId="6">Juni!$AM$101</definedName>
    <definedName name="Monat.P5UeVM" localSheetId="5">Mai!$AN$101</definedName>
    <definedName name="Monat.P5UeVM" localSheetId="3">März!$AN$101</definedName>
    <definedName name="Monat.P5UeVM" localSheetId="11">November!$AM$101</definedName>
    <definedName name="Monat.P5UeVM" localSheetId="10">Oktober!$AN$101</definedName>
    <definedName name="Monat.P5UeVM" localSheetId="9">September!$AM$101</definedName>
    <definedName name="Monat.P6UeVM" localSheetId="4">April!$AM$102</definedName>
    <definedName name="Monat.P6UeVM" localSheetId="8">August!$AN$102</definedName>
    <definedName name="Monat.P6UeVM" localSheetId="12">Dezember!$AN$102</definedName>
    <definedName name="Monat.P6UeVM" localSheetId="2">Februar!$AK$102</definedName>
    <definedName name="Monat.P6UeVM" localSheetId="1">Januar!$AN$102</definedName>
    <definedName name="Monat.P6UeVM" localSheetId="7">Juli!$AN$102</definedName>
    <definedName name="Monat.P6UeVM" localSheetId="6">Juni!$AM$102</definedName>
    <definedName name="Monat.P6UeVM" localSheetId="5">Mai!$AN$102</definedName>
    <definedName name="Monat.P6UeVM" localSheetId="3">März!$AN$102</definedName>
    <definedName name="Monat.P6UeVM" localSheetId="11">November!$AM$102</definedName>
    <definedName name="Monat.P6UeVM" localSheetId="10">Oktober!$AN$102</definedName>
    <definedName name="Monat.P6UeVM" localSheetId="9">September!$AM$102</definedName>
    <definedName name="Monat.P7UeVM" localSheetId="4">April!$AM$103</definedName>
    <definedName name="Monat.P7UeVM" localSheetId="8">August!$AN$103</definedName>
    <definedName name="Monat.P7UeVM" localSheetId="12">Dezember!$AN$103</definedName>
    <definedName name="Monat.P7UeVM" localSheetId="2">Februar!$AK$103</definedName>
    <definedName name="Monat.P7UeVM" localSheetId="1">Januar!$AN$103</definedName>
    <definedName name="Monat.P7UeVM" localSheetId="7">Juli!$AN$103</definedName>
    <definedName name="Monat.P7UeVM" localSheetId="6">Juni!$AM$103</definedName>
    <definedName name="Monat.P7UeVM" localSheetId="5">Mai!$AN$103</definedName>
    <definedName name="Monat.P7UeVM" localSheetId="3">März!$AN$103</definedName>
    <definedName name="Monat.P7UeVM" localSheetId="11">November!$AM$103</definedName>
    <definedName name="Monat.P7UeVM" localSheetId="10">Oktober!$AN$103</definedName>
    <definedName name="Monat.P7UeVM" localSheetId="9">September!$AM$103</definedName>
    <definedName name="Monat.P8UeVM" localSheetId="4">April!$AM$104</definedName>
    <definedName name="Monat.P8UeVM" localSheetId="8">August!$AN$104</definedName>
    <definedName name="Monat.P8UeVM" localSheetId="12">Dezember!$AN$104</definedName>
    <definedName name="Monat.P8UeVM" localSheetId="2">Februar!$AK$104</definedName>
    <definedName name="Monat.P8UeVM" localSheetId="1">Januar!$AN$104</definedName>
    <definedName name="Monat.P8UeVM" localSheetId="7">Juli!$AN$104</definedName>
    <definedName name="Monat.P8UeVM" localSheetId="6">Juni!$AM$104</definedName>
    <definedName name="Monat.P8UeVM" localSheetId="5">Mai!$AN$104</definedName>
    <definedName name="Monat.P8UeVM" localSheetId="3">März!$AN$104</definedName>
    <definedName name="Monat.P8UeVM" localSheetId="11">November!$AM$104</definedName>
    <definedName name="Monat.P8UeVM" localSheetId="10">Oktober!$AN$104</definedName>
    <definedName name="Monat.P8UeVM" localSheetId="9">September!$AM$104</definedName>
    <definedName name="Monat.P9UeVM" localSheetId="4">April!$AM$105</definedName>
    <definedName name="Monat.P9UeVM" localSheetId="8">August!$AN$105</definedName>
    <definedName name="Monat.P9UeVM" localSheetId="12">Dezember!$AN$105</definedName>
    <definedName name="Monat.P9UeVM" localSheetId="2">Februar!$AK$105</definedName>
    <definedName name="Monat.P9UeVM" localSheetId="1">Januar!$AN$105</definedName>
    <definedName name="Monat.P9UeVM" localSheetId="7">Juli!$AN$105</definedName>
    <definedName name="Monat.P9UeVM" localSheetId="6">Juni!$AM$105</definedName>
    <definedName name="Monat.P9UeVM" localSheetId="5">Mai!$AN$105</definedName>
    <definedName name="Monat.P9UeVM" localSheetId="3">März!$AN$105</definedName>
    <definedName name="Monat.P9UeVM" localSheetId="11">November!$AM$105</definedName>
    <definedName name="Monat.P9UeVM" localSheetId="10">Oktober!$AN$105</definedName>
    <definedName name="Monat.P9UeVM" localSheetId="9">September!$AM$105</definedName>
    <definedName name="Monat.PDiffUeVM" localSheetId="4">April!$AM$114</definedName>
    <definedName name="Monat.PDiffUeVM" localSheetId="8">August!$AN$114</definedName>
    <definedName name="Monat.PDiffUeVM" localSheetId="12">Dezember!$AN$114</definedName>
    <definedName name="Monat.PDiffUeVM" localSheetId="2">Februar!$AK$114</definedName>
    <definedName name="Monat.PDiffUeVM" localSheetId="1">Januar!$AN$114</definedName>
    <definedName name="Monat.PDiffUeVM" localSheetId="7">Juli!$AN$114</definedName>
    <definedName name="Monat.PDiffUeVM" localSheetId="6">Juni!$AM$114</definedName>
    <definedName name="Monat.PDiffUeVM" localSheetId="5">Mai!$AN$114</definedName>
    <definedName name="Monat.PDiffUeVM" localSheetId="3">März!$AN$114</definedName>
    <definedName name="Monat.PDiffUeVM" localSheetId="11">November!$AM$114</definedName>
    <definedName name="Monat.PDiffUeVM" localSheetId="10">Oktober!$AN$114</definedName>
    <definedName name="Monat.PDiffUeVM" localSheetId="9">September!$AM$114</definedName>
    <definedName name="Monat.Pikett" localSheetId="4">April!$AF$34</definedName>
    <definedName name="Monat.Pikett" localSheetId="8">August!$AG$34</definedName>
    <definedName name="Monat.Pikett" localSheetId="12">Dezember!$AG$34</definedName>
    <definedName name="Monat.Pikett" localSheetId="2">Februar!$AD$34</definedName>
    <definedName name="Monat.Pikett" localSheetId="1">Januar!$AG$34</definedName>
    <definedName name="Monat.Pikett" localSheetId="7">Juli!$AG$34</definedName>
    <definedName name="Monat.Pikett" localSheetId="6">Juni!$AF$34</definedName>
    <definedName name="Monat.Pikett" localSheetId="5">Mai!$AG$34</definedName>
    <definedName name="Monat.Pikett" localSheetId="3">März!$AG$34</definedName>
    <definedName name="Monat.Pikett" localSheetId="11">November!$AF$34</definedName>
    <definedName name="Monat.Pikett" localSheetId="10">Oktober!$AG$34</definedName>
    <definedName name="Monat.Pikett" localSheetId="9">September!$AF$34</definedName>
    <definedName name="Monat.Pikett.Zähler" localSheetId="4">April!$AI$34</definedName>
    <definedName name="Monat.Pikett.Zähler" localSheetId="8">August!$AJ$34</definedName>
    <definedName name="Monat.Pikett.Zähler" localSheetId="12">Dezember!$AJ$34</definedName>
    <definedName name="Monat.Pikett.Zähler" localSheetId="2">Februar!$AG$34</definedName>
    <definedName name="Monat.Pikett.Zähler" localSheetId="1">Januar!$AJ$34</definedName>
    <definedName name="Monat.Pikett.Zähler" localSheetId="7">Juli!$AJ$34</definedName>
    <definedName name="Monat.Pikett.Zähler" localSheetId="6">Juni!$AI$34</definedName>
    <definedName name="Monat.Pikett.Zähler" localSheetId="5">Mai!$AJ$34</definedName>
    <definedName name="Monat.Pikett.Zähler" localSheetId="3">März!$AJ$34</definedName>
    <definedName name="Monat.Pikett.Zähler" localSheetId="11">November!$AI$34</definedName>
    <definedName name="Monat.Pikett.Zähler" localSheetId="10">Oktober!$AJ$34</definedName>
    <definedName name="Monat.Pikett.Zähler" localSheetId="9">September!$AI$34</definedName>
    <definedName name="Monat.PikettgesternTag1" localSheetId="4">April!$B$48</definedName>
    <definedName name="Monat.PikettgesternTag1" localSheetId="8">August!$B$48</definedName>
    <definedName name="Monat.PikettgesternTag1" localSheetId="12">Dezember!$B$48</definedName>
    <definedName name="Monat.PikettgesternTag1" localSheetId="2">Februar!$B$48</definedName>
    <definedName name="Monat.PikettgesternTag1" localSheetId="1">Januar!$B$48</definedName>
    <definedName name="Monat.PikettgesternTag1" localSheetId="7">Juli!$B$48</definedName>
    <definedName name="Monat.PikettgesternTag1" localSheetId="6">Juni!$B$48</definedName>
    <definedName name="Monat.PikettgesternTag1" localSheetId="5">Mai!$B$48</definedName>
    <definedName name="Monat.PikettgesternTag1" localSheetId="3">März!$B$48</definedName>
    <definedName name="Monat.PikettgesternTag1" localSheetId="11">November!$B$48</definedName>
    <definedName name="Monat.PikettgesternTag1" localSheetId="10">Oktober!$B$48</definedName>
    <definedName name="Monat.PikettgesternTag1" localSheetId="9">September!$B$48</definedName>
    <definedName name="Monat.PikettText" localSheetId="4">April!$A$34</definedName>
    <definedName name="Monat.PikettText" localSheetId="8">August!$A$34</definedName>
    <definedName name="Monat.PikettText" localSheetId="12">Dezember!$A$34</definedName>
    <definedName name="Monat.PikettText" localSheetId="2">Februar!$A$34</definedName>
    <definedName name="Monat.PikettText" localSheetId="1">Januar!$A$34</definedName>
    <definedName name="Monat.PikettText" localSheetId="7">Juli!$A$34</definedName>
    <definedName name="Monat.PikettText" localSheetId="6">Juni!$A$34</definedName>
    <definedName name="Monat.PikettText" localSheetId="5">Mai!$A$34</definedName>
    <definedName name="Monat.PikettText" localSheetId="3">März!$A$34</definedName>
    <definedName name="Monat.PikettText" localSheetId="11">November!$A$34</definedName>
    <definedName name="Monat.PikettText" localSheetId="10">Oktober!$A$34</definedName>
    <definedName name="Monat.PikettText" localSheetId="9">September!$A$34</definedName>
    <definedName name="Monat.Projekte.Zeilen" localSheetId="4">April!$A$97:$A$111</definedName>
    <definedName name="Monat.Projekte.Zeilen" localSheetId="8">August!$A$97:$A$111</definedName>
    <definedName name="Monat.Projekte.Zeilen" localSheetId="12">Dezember!$A$97:$A$111</definedName>
    <definedName name="Monat.Projekte.Zeilen" localSheetId="2">Februar!$A$97:$A$111</definedName>
    <definedName name="Monat.Projekte.Zeilen" localSheetId="1">Januar!$A$97:$A$111</definedName>
    <definedName name="Monat.Projekte.Zeilen" localSheetId="7">Juli!$A$97:$A$111</definedName>
    <definedName name="Monat.Projekte.Zeilen" localSheetId="6">Juni!$A$97:$A$111</definedName>
    <definedName name="Monat.Projekte.Zeilen" localSheetId="5">Mai!$A$97:$A$111</definedName>
    <definedName name="Monat.Projekte.Zeilen" localSheetId="3">März!$A$97:$A$111</definedName>
    <definedName name="Monat.Projekte.Zeilen" localSheetId="11">November!$A$97:$A$111</definedName>
    <definedName name="Monat.Projekte.Zeilen" localSheetId="10">Oktober!$A$97:$A$111</definedName>
    <definedName name="Monat.Projekte.Zeilen" localSheetId="9">September!$A$97:$A$111</definedName>
    <definedName name="Monat.ProjekteTotal.Bereich" localSheetId="4">April!$AH$97:$AH$111</definedName>
    <definedName name="Monat.ProjekteTotal.Bereich" localSheetId="8">August!$AI$97:$AI$111</definedName>
    <definedName name="Monat.ProjekteTotal.Bereich" localSheetId="12">Dezember!$AI$97:$AI$111</definedName>
    <definedName name="Monat.ProjekteTotal.Bereich" localSheetId="2">Februar!$AF$97:$AF$111</definedName>
    <definedName name="Monat.ProjekteTotal.Bereich" localSheetId="1">Januar!$AI$97:$AI$111</definedName>
    <definedName name="Monat.ProjekteTotal.Bereich" localSheetId="7">Juli!$AI$97:$AI$111</definedName>
    <definedName name="Monat.ProjekteTotal.Bereich" localSheetId="6">Juni!$AH$97:$AH$111</definedName>
    <definedName name="Monat.ProjekteTotal.Bereich" localSheetId="5">Mai!$AI$97:$AI$111</definedName>
    <definedName name="Monat.ProjekteTotal.Bereich" localSheetId="3">März!$AI$97:$AI$111</definedName>
    <definedName name="Monat.ProjekteTotal.Bereich" localSheetId="11">November!$AH$97:$AH$111</definedName>
    <definedName name="Monat.ProjekteTotal.Bereich" localSheetId="10">Oktober!$AI$97:$AI$111</definedName>
    <definedName name="Monat.ProjekteTotal.Bereich" localSheetId="9">September!$AH$97:$AH$111</definedName>
    <definedName name="Monat.PTotalUeVM" localSheetId="4">April!$AM$112</definedName>
    <definedName name="Monat.PTotalUeVM" localSheetId="8">August!$AN$112</definedName>
    <definedName name="Monat.PTotalUeVM" localSheetId="12">Dezember!$AN$112</definedName>
    <definedName name="Monat.PTotalUeVM" localSheetId="2">Februar!$AK$112</definedName>
    <definedName name="Monat.PTotalUeVM" localSheetId="1">Januar!$AN$112</definedName>
    <definedName name="Monat.PTotalUeVM" localSheetId="7">Juli!$AN$112</definedName>
    <definedName name="Monat.PTotalUeVM" localSheetId="6">Juni!$AM$112</definedName>
    <definedName name="Monat.PTotalUeVM" localSheetId="5">Mai!$AN$112</definedName>
    <definedName name="Monat.PTotalUeVM" localSheetId="3">März!$AN$112</definedName>
    <definedName name="Monat.PTotalUeVM" localSheetId="11">November!$AM$112</definedName>
    <definedName name="Monat.PTotalUeVM" localSheetId="10">Oktober!$AN$112</definedName>
    <definedName name="Monat.PTotalUeVM" localSheetId="9">September!$AM$112</definedName>
    <definedName name="Monat.RAZ1_7.Bereich" localSheetId="4">April!$P$7:$V$7</definedName>
    <definedName name="Monat.RAZ1_7.Bereich" localSheetId="8">August!$P$7:$V$7</definedName>
    <definedName name="Monat.RAZ1_7.Bereich" localSheetId="12">Dezember!$P$7:$V$7</definedName>
    <definedName name="Monat.RAZ1_7.Bereich" localSheetId="2">Februar!$P$7:$V$7</definedName>
    <definedName name="Monat.RAZ1_7.Bereich" localSheetId="1">Januar!$P$7:$V$7</definedName>
    <definedName name="Monat.RAZ1_7.Bereich" localSheetId="7">Juli!$P$7:$V$7</definedName>
    <definedName name="Monat.RAZ1_7.Bereich" localSheetId="6">Juni!$P$7:$V$7</definedName>
    <definedName name="Monat.RAZ1_7.Bereich" localSheetId="5">Mai!$P$7:$V$7</definedName>
    <definedName name="Monat.RAZ1_7.Bereich" localSheetId="3">März!$P$7:$V$7</definedName>
    <definedName name="Monat.RAZ1_7.Bereich" localSheetId="11">November!$P$7:$V$7</definedName>
    <definedName name="Monat.RAZ1_7.Bereich" localSheetId="10">Oktober!$P$7:$V$7</definedName>
    <definedName name="Monat.RAZ1_7.Bereich" localSheetId="9">September!$P$7:$V$7</definedName>
    <definedName name="Monat.SD.Total" localSheetId="4">April!$AH$82</definedName>
    <definedName name="Monat.SD.Total" localSheetId="8">August!$AI$82</definedName>
    <definedName name="Monat.SD.Total" localSheetId="12">Dezember!$AI$82</definedName>
    <definedName name="Monat.SD.Total" localSheetId="2">Februar!$AF$82</definedName>
    <definedName name="Monat.SD.Total" localSheetId="1">Januar!$AI$82</definedName>
    <definedName name="Monat.SD.Total" localSheetId="7">Juli!$AI$82</definedName>
    <definedName name="Monat.SD.Total" localSheetId="6">Juni!$AH$82</definedName>
    <definedName name="Monat.SD.Total" localSheetId="5">Mai!$AI$82</definedName>
    <definedName name="Monat.SD.Total" localSheetId="3">März!$AI$82</definedName>
    <definedName name="Monat.SD.Total" localSheetId="11">November!$AH$82</definedName>
    <definedName name="Monat.SD.Total" localSheetId="10">Oktober!$AI$82</definedName>
    <definedName name="Monat.SD.Total" localSheetId="9">September!$AH$82</definedName>
    <definedName name="Monat.SDText" localSheetId="4">April!$A$82</definedName>
    <definedName name="Monat.SDText" localSheetId="8">August!$A$82</definedName>
    <definedName name="Monat.SDText" localSheetId="12">Dezember!$A$82</definedName>
    <definedName name="Monat.SDText" localSheetId="2">Februar!$A$82</definedName>
    <definedName name="Monat.SDText" localSheetId="1">Januar!$A$82</definedName>
    <definedName name="Monat.SDText" localSheetId="7">Juli!$A$82</definedName>
    <definedName name="Monat.SDText" localSheetId="6">Juni!$A$82</definedName>
    <definedName name="Monat.SDText" localSheetId="5">Mai!$A$82</definedName>
    <definedName name="Monat.SDText" localSheetId="3">März!$A$82</definedName>
    <definedName name="Monat.SDText" localSheetId="11">November!$A$82</definedName>
    <definedName name="Monat.SDText" localSheetId="10">Oktober!$A$82</definedName>
    <definedName name="Monat.SDText" localSheetId="9">September!$A$82</definedName>
    <definedName name="Monat.SDUeVM" localSheetId="4">April!$AM$82</definedName>
    <definedName name="Monat.SDUeVM" localSheetId="8">August!$AN$82</definedName>
    <definedName name="Monat.SDUeVM" localSheetId="12">Dezember!$AN$82</definedName>
    <definedName name="Monat.SDUeVM" localSheetId="2">Februar!$AK$82</definedName>
    <definedName name="Monat.SDUeVM" localSheetId="1">Januar!$AN$82</definedName>
    <definedName name="Monat.SDUeVM" localSheetId="7">Juli!$AN$82</definedName>
    <definedName name="Monat.SDUeVM" localSheetId="6">Juni!$AM$82</definedName>
    <definedName name="Monat.SDUeVM" localSheetId="5">Mai!$AN$82</definedName>
    <definedName name="Monat.SDUeVM" localSheetId="3">März!$AN$82</definedName>
    <definedName name="Monat.SDUeVM" localSheetId="11">November!$AM$82</definedName>
    <definedName name="Monat.SDUeVM" localSheetId="10">Oktober!$AN$82</definedName>
    <definedName name="Monat.SDUeVM" localSheetId="9">September!$AM$82</definedName>
    <definedName name="Monat.Soll_Ist_UeVM" localSheetId="4">April!$AM$55</definedName>
    <definedName name="Monat.Soll_Ist_UeVM" localSheetId="8">August!$AN$55</definedName>
    <definedName name="Monat.Soll_Ist_UeVM" localSheetId="12">Dezember!$AN$55</definedName>
    <definedName name="Monat.Soll_Ist_UeVM" localSheetId="2">Februar!$AK$55</definedName>
    <definedName name="Monat.Soll_Ist_UeVM" localSheetId="1">Januar!$AN$55</definedName>
    <definedName name="Monat.Soll_Ist_UeVM" localSheetId="7">Juli!$AN$55</definedName>
    <definedName name="Monat.Soll_Ist_UeVM" localSheetId="6">Juni!$AM$55</definedName>
    <definedName name="Monat.Soll_Ist_UeVM" localSheetId="5">Mai!$AN$55</definedName>
    <definedName name="Monat.Soll_Ist_UeVM" localSheetId="3">März!$AN$55</definedName>
    <definedName name="Monat.Soll_Ist_UeVM" localSheetId="11">November!$AM$55</definedName>
    <definedName name="Monat.Soll_Ist_UeVM" localSheetId="10">Oktober!$AN$55</definedName>
    <definedName name="Monat.Soll_Ist_UeVM" localSheetId="9">September!$AM$55</definedName>
    <definedName name="Monat.Tag1" localSheetId="4">April!$B$10</definedName>
    <definedName name="Monat.Tag1" localSheetId="8">August!$B$10</definedName>
    <definedName name="Monat.Tag1" localSheetId="12">Dezember!$B$10</definedName>
    <definedName name="Monat.Tag1" localSheetId="2">Februar!$B$10</definedName>
    <definedName name="Monat.Tag1" localSheetId="1">Januar!$B$10</definedName>
    <definedName name="Monat.Tag1" localSheetId="7">Juli!$B$10</definedName>
    <definedName name="Monat.Tag1" localSheetId="6">Juni!$B$10</definedName>
    <definedName name="Monat.Tag1" localSheetId="5">Mai!$B$10</definedName>
    <definedName name="Monat.Tag1" localSheetId="3">März!$B$10</definedName>
    <definedName name="Monat.Tag1" localSheetId="11">November!$B$10</definedName>
    <definedName name="Monat.Tag1" localSheetId="10">Oktober!$B$10</definedName>
    <definedName name="Monat.Tag1" localSheetId="9">September!$B$10</definedName>
    <definedName name="Monat.Tage.Knoten" localSheetId="4">April!$B$9</definedName>
    <definedName name="Monat.Tage.Knoten" localSheetId="8">August!$B$9</definedName>
    <definedName name="Monat.Tage.Knoten" localSheetId="12">Dezember!$B$9</definedName>
    <definedName name="Monat.Tage.Knoten" localSheetId="2">Februar!$B$9</definedName>
    <definedName name="Monat.Tage.Knoten" localSheetId="1">Januar!$B$9</definedName>
    <definedName name="Monat.Tage.Knoten" localSheetId="7">Juli!$B$9</definedName>
    <definedName name="Monat.Tage.Knoten" localSheetId="6">Juni!$B$9</definedName>
    <definedName name="Monat.Tage.Knoten" localSheetId="5">Mai!$B$9</definedName>
    <definedName name="Monat.Tage.Knoten" localSheetId="3">März!$B$9</definedName>
    <definedName name="Monat.Tage.Knoten" localSheetId="11">November!$B$9</definedName>
    <definedName name="Monat.Tage.Knoten" localSheetId="10">Oktober!$B$9</definedName>
    <definedName name="Monat.Tage.Knoten" localSheetId="9">September!$B$9</definedName>
    <definedName name="Monat.UeZ.Saldo" localSheetId="4">April!$AH$62</definedName>
    <definedName name="Monat.UeZ.Saldo" localSheetId="8">August!$AI$62</definedName>
    <definedName name="Monat.UeZ.Saldo" localSheetId="12">Dezember!$AI$62</definedName>
    <definedName name="Monat.UeZ.Saldo" localSheetId="2">Februar!$AF$62</definedName>
    <definedName name="Monat.UeZ.Saldo" localSheetId="1">Januar!$AI$62</definedName>
    <definedName name="Monat.UeZ.Saldo" localSheetId="7">Juli!$AI$62</definedName>
    <definedName name="Monat.UeZ.Saldo" localSheetId="6">Juni!$AH$62</definedName>
    <definedName name="Monat.UeZ.Saldo" localSheetId="5">Mai!$AI$62</definedName>
    <definedName name="Monat.UeZ.Saldo" localSheetId="3">März!$AI$62</definedName>
    <definedName name="Monat.UeZ.Saldo" localSheetId="11">November!$AH$62</definedName>
    <definedName name="Monat.UeZ.Saldo" localSheetId="10">Oktober!$AI$62</definedName>
    <definedName name="Monat.UeZ.Saldo" localSheetId="9">September!$AH$62</definedName>
    <definedName name="Monat.UeZ.Total" localSheetId="4">April!$AH$65</definedName>
    <definedName name="Monat.UeZ.Total" localSheetId="8">August!$AI$65</definedName>
    <definedName name="Monat.UeZ.Total" localSheetId="12">Dezember!$AI$65</definedName>
    <definedName name="Monat.UeZ.Total" localSheetId="2">Februar!$AF$65</definedName>
    <definedName name="Monat.UeZ.Total" localSheetId="1">Januar!$AI$65</definedName>
    <definedName name="Monat.UeZ.Total" localSheetId="7">Juli!$AI$65</definedName>
    <definedName name="Monat.UeZ.Total" localSheetId="6">Juni!$AH$65</definedName>
    <definedName name="Monat.UeZ.Total" localSheetId="5">Mai!$AI$65</definedName>
    <definedName name="Monat.UeZ.Total" localSheetId="3">März!$AI$65</definedName>
    <definedName name="Monat.UeZ.Total" localSheetId="11">November!$AH$65</definedName>
    <definedName name="Monat.UeZ.Total" localSheetId="10">Oktober!$AI$65</definedName>
    <definedName name="Monat.UeZ.Total" localSheetId="9">September!$AH$65</definedName>
    <definedName name="Monat.UeziZSText" localSheetId="4">April!$AF$65</definedName>
    <definedName name="Monat.UeziZSText" localSheetId="8">August!$AG$65</definedName>
    <definedName name="Monat.UeziZSText" localSheetId="12">Dezember!$AG$65</definedName>
    <definedName name="Monat.UeziZSText" localSheetId="2">Februar!$AD$65</definedName>
    <definedName name="Monat.UeziZSText" localSheetId="1">Januar!$AG$65</definedName>
    <definedName name="Monat.UeziZSText" localSheetId="7">Juli!$AG$65</definedName>
    <definedName name="Monat.UeziZSText" localSheetId="6">Juni!$AF$65</definedName>
    <definedName name="Monat.UeziZSText" localSheetId="5">Mai!$AG$65</definedName>
    <definedName name="Monat.UeziZSText" localSheetId="3">März!$AG$65</definedName>
    <definedName name="Monat.UeziZSText" localSheetId="11">November!$AF$65</definedName>
    <definedName name="Monat.UeziZSText" localSheetId="10">Oktober!$AG$65</definedName>
    <definedName name="Monat.UeziZSText" localSheetId="9">September!$AF$65</definedName>
    <definedName name="Monat.UeZSaldoText" localSheetId="4">April!$AF$62</definedName>
    <definedName name="Monat.UeZSaldoText" localSheetId="8">August!$AG$62</definedName>
    <definedName name="Monat.UeZSaldoText" localSheetId="12">Dezember!$AG$62</definedName>
    <definedName name="Monat.UeZSaldoText" localSheetId="2">Februar!$AD$62</definedName>
    <definedName name="Monat.UeZSaldoText" localSheetId="1">Januar!$AG$62</definedName>
    <definedName name="Monat.UeZSaldoText" localSheetId="7">Juli!$AG$62</definedName>
    <definedName name="Monat.UeZSaldoText" localSheetId="6">Juni!$AF$62</definedName>
    <definedName name="Monat.UeZSaldoText" localSheetId="5">Mai!$AG$62</definedName>
    <definedName name="Monat.UeZSaldoText" localSheetId="3">März!$AG$62</definedName>
    <definedName name="Monat.UeZSaldoText" localSheetId="11">November!$AF$62</definedName>
    <definedName name="Monat.UeZSaldoText" localSheetId="10">Oktober!$AG$62</definedName>
    <definedName name="Monat.UeZSaldoText" localSheetId="9">September!$AF$62</definedName>
    <definedName name="Monat.UeZUeVM" localSheetId="4">April!$AM$65</definedName>
    <definedName name="Monat.UeZUeVM" localSheetId="8">August!$AN$65</definedName>
    <definedName name="Monat.UeZUeVM" localSheetId="12">Dezember!$AN$65</definedName>
    <definedName name="Monat.UeZUeVM" localSheetId="2">Februar!$AK$65</definedName>
    <definedName name="Monat.UeZUeVM" localSheetId="1">Januar!$AN$65</definedName>
    <definedName name="Monat.UeZUeVM" localSheetId="7">Juli!$AN$65</definedName>
    <definedName name="Monat.UeZUeVM" localSheetId="6">Juni!$AM$65</definedName>
    <definedName name="Monat.UeZUeVM" localSheetId="5">Mai!$AN$65</definedName>
    <definedName name="Monat.UeZUeVM" localSheetId="3">März!$AN$65</definedName>
    <definedName name="Monat.UeZUeVM" localSheetId="11">November!$AM$65</definedName>
    <definedName name="Monat.UeZUeVM" localSheetId="10">Oktober!$AN$65</definedName>
    <definedName name="Monat.UeZUeVM" localSheetId="9">September!$AM$65</definedName>
    <definedName name="Monat.UnbesU.Total" localSheetId="4">April!$AH$93</definedName>
    <definedName name="Monat.UnbesU.Total" localSheetId="8">August!$AI$93</definedName>
    <definedName name="Monat.UnbesU.Total" localSheetId="12">Dezember!$AI$93</definedName>
    <definedName name="Monat.UnbesU.Total" localSheetId="2">Februar!$AF$93</definedName>
    <definedName name="Monat.UnbesU.Total" localSheetId="1">Januar!$AI$93</definedName>
    <definedName name="Monat.UnbesU.Total" localSheetId="7">Juli!$AI$93</definedName>
    <definedName name="Monat.UnbesU.Total" localSheetId="6">Juni!$AH$93</definedName>
    <definedName name="Monat.UnbesU.Total" localSheetId="5">Mai!$AI$93</definedName>
    <definedName name="Monat.UnbesU.Total" localSheetId="3">März!$AI$93</definedName>
    <definedName name="Monat.UnbesU.Total" localSheetId="11">November!$AH$93</definedName>
    <definedName name="Monat.UnbesU.Total" localSheetId="10">Oktober!$AI$93</definedName>
    <definedName name="Monat.UnbesU.Total" localSheetId="9">September!$AH$93</definedName>
    <definedName name="Monat.UnbesUrlaubText" localSheetId="4">April!$A$93</definedName>
    <definedName name="Monat.UnbesUrlaubText" localSheetId="8">August!$A$93</definedName>
    <definedName name="Monat.UnbesUrlaubText" localSheetId="12">Dezember!$A$93</definedName>
    <definedName name="Monat.UnbesUrlaubText" localSheetId="2">Februar!$A$93</definedName>
    <definedName name="Monat.UnbesUrlaubText" localSheetId="1">Januar!$A$93</definedName>
    <definedName name="Monat.UnbesUrlaubText" localSheetId="7">Juli!$A$93</definedName>
    <definedName name="Monat.UnbesUrlaubText" localSheetId="6">Juni!$A$93</definedName>
    <definedName name="Monat.UnbesUrlaubText" localSheetId="5">Mai!$A$93</definedName>
    <definedName name="Monat.UnbesUrlaubText" localSheetId="3">März!$A$93</definedName>
    <definedName name="Monat.UnbesUrlaubText" localSheetId="11">November!$A$93</definedName>
    <definedName name="Monat.UnbesUrlaubText" localSheetId="10">Oktober!$A$93</definedName>
    <definedName name="Monat.UnbesUrlaubText" localSheetId="9">September!$A$93</definedName>
    <definedName name="Monat.UnbesUrlaubUeVM" localSheetId="4">April!$AM$93</definedName>
    <definedName name="Monat.UnbesUrlaubUeVM" localSheetId="8">August!$AN$93</definedName>
    <definedName name="Monat.UnbesUrlaubUeVM" localSheetId="12">Dezember!$AN$93</definedName>
    <definedName name="Monat.UnbesUrlaubUeVM" localSheetId="2">Februar!$AK$93</definedName>
    <definedName name="Monat.UnbesUrlaubUeVM" localSheetId="1">Januar!$AN$93</definedName>
    <definedName name="Monat.UnbesUrlaubUeVM" localSheetId="7">Juli!$AN$93</definedName>
    <definedName name="Monat.UnbesUrlaubUeVM" localSheetId="6">Juni!$AM$93</definedName>
    <definedName name="Monat.UnbesUrlaubUeVM" localSheetId="5">Mai!$AN$93</definedName>
    <definedName name="Monat.UnbesUrlaubUeVM" localSheetId="3">März!$AN$93</definedName>
    <definedName name="Monat.UnbesUrlaubUeVM" localSheetId="11">November!$AM$93</definedName>
    <definedName name="Monat.UnbesUrlaubUeVM" localSheetId="10">Oktober!$AN$93</definedName>
    <definedName name="Monat.UnbesUrlaubUeVM" localSheetId="9">September!$AM$93</definedName>
    <definedName name="Monat.ÜZZSBerechtigt" localSheetId="4">April!$V$4</definedName>
    <definedName name="Monat.ÜZZSBerechtigt" localSheetId="8">August!$V$4</definedName>
    <definedName name="Monat.ÜZZSBerechtigt" localSheetId="12">Dezember!$V$4</definedName>
    <definedName name="Monat.ÜZZSBerechtigt" localSheetId="2">Februar!$V$4</definedName>
    <definedName name="Monat.ÜZZSBerechtigt" localSheetId="1">Januar!$V$4</definedName>
    <definedName name="Monat.ÜZZSBerechtigt" localSheetId="7">Juli!$V$4</definedName>
    <definedName name="Monat.ÜZZSBerechtigt" localSheetId="6">Juni!$V$4</definedName>
    <definedName name="Monat.ÜZZSBerechtigt" localSheetId="5">Mai!$V$4</definedName>
    <definedName name="Monat.ÜZZSBerechtigt" localSheetId="3">März!$V$4</definedName>
    <definedName name="Monat.ÜZZSBerechtigt" localSheetId="11">November!$V$4</definedName>
    <definedName name="Monat.ÜZZSBerechtigt" localSheetId="10">Oktober!$V$4</definedName>
    <definedName name="Monat.ÜZZSBerechtigt" localSheetId="9">September!$V$4</definedName>
    <definedName name="Monat.WB.Total" localSheetId="4">April!$AH$91</definedName>
    <definedName name="Monat.WB.Total" localSheetId="8">August!$AI$91</definedName>
    <definedName name="Monat.WB.Total" localSheetId="12">Dezember!$AI$91</definedName>
    <definedName name="Monat.WB.Total" localSheetId="2">Februar!$AF$91</definedName>
    <definedName name="Monat.WB.Total" localSheetId="1">Januar!$AI$91</definedName>
    <definedName name="Monat.WB.Total" localSheetId="7">Juli!$AI$91</definedName>
    <definedName name="Monat.WB.Total" localSheetId="6">Juni!$AH$91</definedName>
    <definedName name="Monat.WB.Total" localSheetId="5">Mai!$AI$91</definedName>
    <definedName name="Monat.WB.Total" localSheetId="3">März!$AI$91</definedName>
    <definedName name="Monat.WB.Total" localSheetId="11">November!$AH$91</definedName>
    <definedName name="Monat.WB.Total" localSheetId="10">Oktober!$AI$91</definedName>
    <definedName name="Monat.WB.Total" localSheetId="9">September!$AH$91</definedName>
    <definedName name="Monat.WBText" localSheetId="4">April!$A$91</definedName>
    <definedName name="Monat.WBText" localSheetId="8">August!$A$91</definedName>
    <definedName name="Monat.WBText" localSheetId="12">Dezember!$A$91</definedName>
    <definedName name="Monat.WBText" localSheetId="2">Februar!$A$91</definedName>
    <definedName name="Monat.WBText" localSheetId="1">Januar!$A$91</definedName>
    <definedName name="Monat.WBText" localSheetId="7">Juli!$A$91</definedName>
    <definedName name="Monat.WBText" localSheetId="6">Juni!$A$91</definedName>
    <definedName name="Monat.WBText" localSheetId="5">Mai!$A$91</definedName>
    <definedName name="Monat.WBText" localSheetId="3">März!$A$91</definedName>
    <definedName name="Monat.WBText" localSheetId="11">November!$A$91</definedName>
    <definedName name="Monat.WBText" localSheetId="10">Oktober!$A$91</definedName>
    <definedName name="Monat.WBText" localSheetId="9">September!$A$91</definedName>
    <definedName name="Monat.WBUeVM" localSheetId="4">April!$AM$91</definedName>
    <definedName name="Monat.WBUeVM" localSheetId="8">August!$AN$91</definedName>
    <definedName name="Monat.WBUeVM" localSheetId="12">Dezember!$AN$91</definedName>
    <definedName name="Monat.WBUeVM" localSheetId="2">Februar!$AK$91</definedName>
    <definedName name="Monat.WBUeVM" localSheetId="1">Januar!$AN$91</definedName>
    <definedName name="Monat.WBUeVM" localSheetId="7">Juli!$AN$91</definedName>
    <definedName name="Monat.WBUeVM" localSheetId="6">Juni!$AM$91</definedName>
    <definedName name="Monat.WBUeVM" localSheetId="5">Mai!$AN$91</definedName>
    <definedName name="Monat.WBUeVM" localSheetId="3">März!$AN$91</definedName>
    <definedName name="Monat.WBUeVM" localSheetId="11">November!$AM$91</definedName>
    <definedName name="Monat.WBUeVM" localSheetId="10">Oktober!$AN$91</definedName>
    <definedName name="Monat.WBUeVM" localSheetId="9">September!$AM$91</definedName>
    <definedName name="Monat.Wochentage.Bereich" localSheetId="4">April!$P$6:$V$6</definedName>
    <definedName name="Monat.Wochentage.Bereich" localSheetId="8">August!$P$6:$V$6</definedName>
    <definedName name="Monat.Wochentage.Bereich" localSheetId="12">Dezember!$P$6:$V$6</definedName>
    <definedName name="Monat.Wochentage.Bereich" localSheetId="2">Februar!$P$6:$V$6</definedName>
    <definedName name="Monat.Wochentage.Bereich" localSheetId="1">Januar!$P$6:$V$6</definedName>
    <definedName name="Monat.Wochentage.Bereich" localSheetId="7">Juli!$P$6:$V$6</definedName>
    <definedName name="Monat.Wochentage.Bereich" localSheetId="6">Juni!$P$6:$V$6</definedName>
    <definedName name="Monat.Wochentage.Bereich" localSheetId="5">Mai!$P$6:$V$6</definedName>
    <definedName name="Monat.Wochentage.Bereich" localSheetId="3">März!$P$6:$V$6</definedName>
    <definedName name="Monat.Wochentage.Bereich" localSheetId="11">November!$P$6:$V$6</definedName>
    <definedName name="Monat.Wochentage.Bereich" localSheetId="10">Oktober!$P$6:$V$6</definedName>
    <definedName name="Monat.Wochentage.Bereich" localSheetId="9">September!$P$6:$V$6</definedName>
    <definedName name="Monat.ZählerND.Total" localSheetId="4">April!$AH$69</definedName>
    <definedName name="Monat.ZählerND.Total" localSheetId="8">August!$AI$69</definedName>
    <definedName name="Monat.ZählerND.Total" localSheetId="12">Dezember!$AI$69</definedName>
    <definedName name="Monat.ZählerND.Total" localSheetId="2">Februar!$AF$69</definedName>
    <definedName name="Monat.ZählerND.Total" localSheetId="1">Januar!$AI$69</definedName>
    <definedName name="Monat.ZählerND.Total" localSheetId="7">Juli!$AI$69</definedName>
    <definedName name="Monat.ZählerND.Total" localSheetId="6">Juni!$AH$69</definedName>
    <definedName name="Monat.ZählerND.Total" localSheetId="5">Mai!$AI$69</definedName>
    <definedName name="Monat.ZählerND.Total" localSheetId="3">März!$AI$69</definedName>
    <definedName name="Monat.ZählerND.Total" localSheetId="11">November!$AH$69</definedName>
    <definedName name="Monat.ZählerND.Total" localSheetId="10">Oktober!$AI$69</definedName>
    <definedName name="Monat.ZählerND.Total" localSheetId="9">September!$AH$69</definedName>
    <definedName name="Monat.ZählerNDText" localSheetId="4">April!$A$69</definedName>
    <definedName name="Monat.ZählerNDText" localSheetId="8">August!$A$69</definedName>
    <definedName name="Monat.ZählerNDText" localSheetId="12">Dezember!$A$69</definedName>
    <definedName name="Monat.ZählerNDText" localSheetId="2">Februar!$A$69</definedName>
    <definedName name="Monat.ZählerNDText" localSheetId="1">Januar!$A$69</definedName>
    <definedName name="Monat.ZählerNDText" localSheetId="7">Juli!$A$69</definedName>
    <definedName name="Monat.ZählerNDText" localSheetId="6">Juni!$A$69</definedName>
    <definedName name="Monat.ZählerNDText" localSheetId="5">Mai!$A$69</definedName>
    <definedName name="Monat.ZählerNDText" localSheetId="3">März!$A$69</definedName>
    <definedName name="Monat.ZählerNDText" localSheetId="11">November!$A$69</definedName>
    <definedName name="Monat.ZählerNDText" localSheetId="10">Oktober!$A$69</definedName>
    <definedName name="Monat.ZählerNDText" localSheetId="9">September!$A$69</definedName>
    <definedName name="Monat.ZählerNDUe" localSheetId="4">April!$AM$69</definedName>
    <definedName name="Monat.ZählerNDUe" localSheetId="8">August!$AN$69</definedName>
    <definedName name="Monat.ZählerNDUe" localSheetId="12">Dezember!$AN$69</definedName>
    <definedName name="Monat.ZählerNDUe" localSheetId="2">Februar!$AK$69</definedName>
    <definedName name="Monat.ZählerNDUe" localSheetId="1">Januar!$AN$69</definedName>
    <definedName name="Monat.ZählerNDUe" localSheetId="7">Juli!$AN$69</definedName>
    <definedName name="Monat.ZählerNDUe" localSheetId="6">Juni!$AM$69</definedName>
    <definedName name="Monat.ZählerNDUe" localSheetId="5">Mai!$AN$69</definedName>
    <definedName name="Monat.ZählerNDUe" localSheetId="3">März!$AN$69</definedName>
    <definedName name="Monat.ZählerNDUe" localSheetId="11">November!$AM$69</definedName>
    <definedName name="Monat.ZählerNDUe" localSheetId="10">Oktober!$AN$69</definedName>
    <definedName name="Monat.ZählerNDUe" localSheetId="9">September!$AM$69</definedName>
    <definedName name="Monat.ZS.Total" localSheetId="4">April!$AH$63</definedName>
    <definedName name="Monat.ZS.Total" localSheetId="8">August!$AI$63</definedName>
    <definedName name="Monat.ZS.Total" localSheetId="12">Dezember!$AI$63</definedName>
    <definedName name="Monat.ZS.Total" localSheetId="2">Februar!$AF$63</definedName>
    <definedName name="Monat.ZS.Total" localSheetId="1">Januar!$AI$63</definedName>
    <definedName name="Monat.ZS.Total" localSheetId="7">Juli!$AI$63</definedName>
    <definedName name="Monat.ZS.Total" localSheetId="6">Juni!$AH$63</definedName>
    <definedName name="Monat.ZS.Total" localSheetId="5">Mai!$AI$63</definedName>
    <definedName name="Monat.ZS.Total" localSheetId="3">März!$AI$63</definedName>
    <definedName name="Monat.ZS.Total" localSheetId="11">November!$AH$63</definedName>
    <definedName name="Monat.ZS.Total" localSheetId="10">Oktober!$AI$63</definedName>
    <definedName name="Monat.ZS.Total" localSheetId="9">September!$AH$63</definedName>
    <definedName name="Monat.ZSText" localSheetId="4">April!$AF$63</definedName>
    <definedName name="Monat.ZSText" localSheetId="8">August!$AG$63</definedName>
    <definedName name="Monat.ZSText" localSheetId="12">Dezember!$AG$63</definedName>
    <definedName name="Monat.ZSText" localSheetId="2">Februar!$AD$63</definedName>
    <definedName name="Monat.ZSText" localSheetId="1">Januar!$AG$63</definedName>
    <definedName name="Monat.ZSText" localSheetId="7">Juli!$AG$63</definedName>
    <definedName name="Monat.ZSText" localSheetId="6">Juni!$AF$63</definedName>
    <definedName name="Monat.ZSText" localSheetId="5">Mai!$AG$63</definedName>
    <definedName name="Monat.ZSText" localSheetId="3">März!$AG$63</definedName>
    <definedName name="Monat.ZSText" localSheetId="11">November!$AF$63</definedName>
    <definedName name="Monat.ZSText" localSheetId="10">Oktober!$AG$63</definedName>
    <definedName name="Monat.ZSText" localSheetId="9">September!$AF$63</definedName>
    <definedName name="Monat.ZUeZ.Total" localSheetId="4">April!$AH$56</definedName>
    <definedName name="Monat.ZUeZ.Total" localSheetId="8">August!$AI$56</definedName>
    <definedName name="Monat.ZUeZ.Total" localSheetId="12">Dezember!$AI$56</definedName>
    <definedName name="Monat.ZUeZ.Total" localSheetId="2">Februar!$AF$56</definedName>
    <definedName name="Monat.ZUeZ.Total" localSheetId="1">Januar!$AI$56</definedName>
    <definedName name="Monat.ZUeZ.Total" localSheetId="7">Juli!$AI$56</definedName>
    <definedName name="Monat.ZUeZ.Total" localSheetId="6">Juni!$AH$56</definedName>
    <definedName name="Monat.ZUeZ.Total" localSheetId="5">Mai!$AI$56</definedName>
    <definedName name="Monat.ZUeZ.Total" localSheetId="3">März!$AI$56</definedName>
    <definedName name="Monat.ZUeZ.Total" localSheetId="11">November!$AH$56</definedName>
    <definedName name="Monat.ZUeZ.Total" localSheetId="10">Oktober!$AI$56</definedName>
    <definedName name="Monat.ZUeZ.Total" localSheetId="9">September!$AH$56</definedName>
    <definedName name="Monat.ZZNdUe" localSheetId="4">April!$AM$79</definedName>
    <definedName name="Monat.ZZNdUe" localSheetId="8">August!$AN$79</definedName>
    <definedName name="Monat.ZZNdUe" localSheetId="12">Dezember!$AN$79</definedName>
    <definedName name="Monat.ZZNdUe" localSheetId="2">Februar!$AK$79</definedName>
    <definedName name="Monat.ZZNdUe" localSheetId="1">Januar!$AN$79</definedName>
    <definedName name="Monat.ZZNdUe" localSheetId="7">Juli!$AN$79</definedName>
    <definedName name="Monat.ZZNdUe" localSheetId="6">Juni!$AM$79</definedName>
    <definedName name="Monat.ZZNdUe" localSheetId="5">Mai!$AN$79</definedName>
    <definedName name="Monat.ZZNdUe" localSheetId="3">März!$AN$79</definedName>
    <definedName name="Monat.ZZNdUe" localSheetId="11">November!$AM$79</definedName>
    <definedName name="Monat.ZZNdUe" localSheetId="10">Oktober!$AN$79</definedName>
    <definedName name="Monat.ZZNdUe" localSheetId="9">September!$AM$79</definedName>
    <definedName name="Monat.ZZSND.Total" localSheetId="4">April!$AH$79</definedName>
    <definedName name="Monat.ZZSND.Total" localSheetId="8">August!$AI$79</definedName>
    <definedName name="Monat.ZZSND.Total" localSheetId="12">Dezember!$AI$79</definedName>
    <definedName name="Monat.ZZSND.Total" localSheetId="2">Februar!$AF$79</definedName>
    <definedName name="Monat.ZZSND.Total" localSheetId="1">Januar!$AI$79</definedName>
    <definedName name="Monat.ZZSND.Total" localSheetId="7">Juli!$AI$79</definedName>
    <definedName name="Monat.ZZSND.Total" localSheetId="6">Juni!$AH$79</definedName>
    <definedName name="Monat.ZZSND.Total" localSheetId="5">Mai!$AI$79</definedName>
    <definedName name="Monat.ZZSND.Total" localSheetId="3">März!$AI$79</definedName>
    <definedName name="Monat.ZZSND.Total" localSheetId="11">November!$AH$79</definedName>
    <definedName name="Monat.ZZSND.Total" localSheetId="10">Oktober!$AI$79</definedName>
    <definedName name="Monat.ZZSND.Total" localSheetId="9">September!$AH$79</definedName>
    <definedName name="Monat.ZZSNDText" localSheetId="4">April!$A$79</definedName>
    <definedName name="Monat.ZZSNDText" localSheetId="8">August!$A$79</definedName>
    <definedName name="Monat.ZZSNDText" localSheetId="12">Dezember!$A$79</definedName>
    <definedName name="Monat.ZZSNDText" localSheetId="2">Februar!$A$79</definedName>
    <definedName name="Monat.ZZSNDText" localSheetId="1">Januar!$A$79</definedName>
    <definedName name="Monat.ZZSNDText" localSheetId="7">Juli!$A$79</definedName>
    <definedName name="Monat.ZZSNDText" localSheetId="6">Juni!$A$79</definedName>
    <definedName name="Monat.ZZSNDText" localSheetId="5">Mai!$A$79</definedName>
    <definedName name="Monat.ZZSNDText" localSheetId="3">März!$A$79</definedName>
    <definedName name="Monat.ZZSNDText" localSheetId="11">November!$A$79</definedName>
    <definedName name="Monat.ZZSNDText" localSheetId="10">Oktober!$A$79</definedName>
    <definedName name="Monat.ZZSNDText" localSheetId="9">September!$A$79</definedName>
    <definedName name="PUE.Knoten">Projektübersicht!$A$9</definedName>
    <definedName name="PUE.Monate.Bereich">Projektübersicht!$A$11:$A$22</definedName>
    <definedName name="PUE.ProjektartName.Bereich">Projektübersicht!$A$24:$A$32</definedName>
    <definedName name="PUE.Projektauslastung.Knoten">Projektübersicht!$R$9</definedName>
    <definedName name="PUE.Summe.Knoten">Projektübersicht!$A$34</definedName>
    <definedName name="PUEEQ.DiffProdStd.Knoten">'Projektübersicht-E+Q'!$A$32</definedName>
    <definedName name="PUEEQ.Knoten">'Projektübersicht-E+Q'!$A$9</definedName>
    <definedName name="PUEEQ.Monate.Bereich">'Projektübersicht-E+Q'!$A$17:$A$28</definedName>
    <definedName name="PUEEQ.Projektauslastung.Knoten">'Projektübersicht-E+Q'!$AG$9</definedName>
    <definedName name="PUEEQ.SollProdStd.Knoten">'Projektübersicht-E+Q'!$A$31</definedName>
    <definedName name="PUEEQ.SumTot.Knoten">'Projektübersicht-E+Q'!$A$34</definedName>
    <definedName name="PUEEQ.TotProdStd.Knoten">'Projektübersicht-E+Q'!$A$30</definedName>
    <definedName name="T.50_NoVetsuisse">Tabellen!$AB$4</definedName>
    <definedName name="T.50_Vetsuisse">Tabellen!$AB$3</definedName>
    <definedName name="T.50_VetsuisseZZSND">Tabellen!$AC$3</definedName>
    <definedName name="T.Abendab">Tabellen!$O$4</definedName>
    <definedName name="T.Abendbis">Tabellen!$P$4</definedName>
    <definedName name="T.Abfragewerte.Knoten">Tabellen!$X$2</definedName>
    <definedName name="T.AngÜZ50_Vetsuisse_orange">Tabellen!$Y$4</definedName>
    <definedName name="T.AnzAbfragewerte">Tabellen!$Z$2</definedName>
    <definedName name="T.AnzDefinierteAbfragen">Tabellen!$AD$2</definedName>
    <definedName name="T.AnzDefinierteZeiten">Tabellen!$Q$2</definedName>
    <definedName name="T.AnzFakultaet">Tabellen!$B$2</definedName>
    <definedName name="T.AnzFeiertage">Tabellen!$K$2</definedName>
    <definedName name="T.AnzFrei_Tage">Tabellen!$M$2</definedName>
    <definedName name="T.AnzJaNein">Tabellen!$AF$2</definedName>
    <definedName name="T.AnzPersonalkategorie">Tabellen!$D$2</definedName>
    <definedName name="T.AnzPikett">Tabellen!$AH$2</definedName>
    <definedName name="T.AnzProdStunden">Tabellen!$W$2</definedName>
    <definedName name="T.AnzProjektart">Tabellen!$F$2</definedName>
    <definedName name="T.AnzProjektartName">Tabellen!$H$2</definedName>
    <definedName name="T.AnzWeitereAngaben">Tabellen!$S$2</definedName>
    <definedName name="T.AnzWochenarbeitszeit">Tabellen!$U$2</definedName>
    <definedName name="T.BWFFeriensaldo">Tabellen!$Y$5</definedName>
    <definedName name="T.DefinierteAbfragen">Tabellen!$AB$2</definedName>
    <definedName name="T.DefinierteAbfragen.Knoten">Tabellen!$AA$2</definedName>
    <definedName name="T.DefinierteAbfragenZZSND.Knoten">Tabellen!$AC$2</definedName>
    <definedName name="T.DefinierteZeilen.Knoten">Tabellen!$N$2</definedName>
    <definedName name="T.DefinierteZeitab.Knoten">Tabellen!$O$2</definedName>
    <definedName name="T.DefinierteZeitbis.Knoten">Tabellen!$P$2</definedName>
    <definedName name="T.Fakultaet.Bereich">OFFSET(T.Fakultaet.Knoten,1,0,T.AnzFakultaet,1)</definedName>
    <definedName name="T.Fakultaet.Knoten">Tabellen!$A$2</definedName>
    <definedName name="T.Feiertage.Bereich">OFFSET(T.Feiertage.Knoten,1,0,T.AnzFeiertage,1)</definedName>
    <definedName name="T.Feiertage.ganzerBereich">OFFSET(T.Feiertage.Knoten,1,0,T.AnzFeiertage,2)</definedName>
    <definedName name="T.Feiertage.Knoten">Tabellen!$I$2</definedName>
    <definedName name="T.Frei_Tage.Bereich">OFFSET(T.Frei_Tage.Knoten,1,0,T.AnzFrei_Tage,1)</definedName>
    <definedName name="T.Frei_Tage.Knoten">Tabellen!$L$2</definedName>
    <definedName name="T.GrenzeAngÜZ50_Vetsuisse">Tabellen!$Y$3</definedName>
    <definedName name="T.JaNein.Bereich">OFFSET(T.JaNein.Knoten,1,0,T.AnzJaNein,1)</definedName>
    <definedName name="T.JaNein.Knoten">Tabellen!$AE$2</definedName>
    <definedName name="T.MedizinischeMikrobiologie">Tabellen!$AB$6</definedName>
    <definedName name="T.MedizinischeMikrobiologieZZSND">Tabellen!$AC$6</definedName>
    <definedName name="T.Nachtab">Tabellen!$O$3</definedName>
    <definedName name="T.Nachtbis">Tabellen!$P$3</definedName>
    <definedName name="T.Personalkategorie.Bereich">OFFSET(T.Personalkategorie.Knoten,1,0,T.AnzPersonalkategorie,1)</definedName>
    <definedName name="T.Personalkategorie.Knoten">Tabellen!$C$2</definedName>
    <definedName name="T.Pikett.Bereich">OFFSET(T.Pikett.Knoten,1,0,T.AnzPikett,1)</definedName>
    <definedName name="T.Pikett.Knoten">Tabellen!$AG$2</definedName>
    <definedName name="T.PikettVetsuissebis">Tabellen!$P$5</definedName>
    <definedName name="T.ProdStunden.Bereich">OFFSET(T.ProdStunden.Knoten,1,0,T.AnzProdStunden,1)</definedName>
    <definedName name="T.ProdStunden.Knoten">Tabellen!$V$2</definedName>
    <definedName name="T.Projektart.Bereich">OFFSET(T.Projektart.Knoten,1,0,T.AnzProjektart,1)</definedName>
    <definedName name="T.Projektart.Knoten">Tabellen!$E$2</definedName>
    <definedName name="T.ProjektartName.Bereich">OFFSET(T.ProjektartName.Knoten,1,0,T.AnzProjektartName,1)</definedName>
    <definedName name="T.ProjektartName.Knoten">Tabellen!$G$2</definedName>
    <definedName name="T.ServiceCenterIrchel">Tabellen!$AB$5</definedName>
    <definedName name="T.ServiceCenterIrchelZZSND">Tabellen!$AC$5</definedName>
    <definedName name="T.WeitereAngaben.Bereich">OFFSET(T.WeitereAngaben.Knoten,1,0,T.AnzWeitereAngaben,1)</definedName>
    <definedName name="T.WeitereAngaben.Knoten">Tabellen!$R$2</definedName>
    <definedName name="T.Wochenarbeitszeit.Bereich">OFFSET(T.Wochenarbeitszeit.Knoten,1,0,T.AnzWochenarbeitszeit,1)</definedName>
    <definedName name="T.Wochenarbeitszeit.Knoten">Tabellen!$T$2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AG114" i="455"/>
  <c r="AG112" i="455"/>
  <c r="AF112" i="455"/>
  <c r="AE112" i="455"/>
  <c r="AD112" i="455"/>
  <c r="AC112" i="455"/>
  <c r="AB112" i="455"/>
  <c r="AA112" i="455"/>
  <c r="Z112" i="455"/>
  <c r="Y112" i="455"/>
  <c r="X112" i="455"/>
  <c r="W112" i="455"/>
  <c r="V112" i="455"/>
  <c r="U112" i="455"/>
  <c r="T112" i="455"/>
  <c r="S112" i="455"/>
  <c r="R112" i="455"/>
  <c r="Q112" i="455"/>
  <c r="P112" i="455"/>
  <c r="O112" i="455"/>
  <c r="N112" i="455"/>
  <c r="M112" i="455"/>
  <c r="L112" i="455"/>
  <c r="K112" i="455"/>
  <c r="J112" i="455"/>
  <c r="I112" i="455"/>
  <c r="H112" i="455"/>
  <c r="G112" i="455"/>
  <c r="F112" i="455"/>
  <c r="E112" i="455"/>
  <c r="D112" i="455"/>
  <c r="C112" i="455"/>
  <c r="B112" i="455"/>
  <c r="AI112" i="455" s="1"/>
  <c r="AI111" i="455"/>
  <c r="AI110" i="455"/>
  <c r="AI109" i="455"/>
  <c r="AI108" i="455"/>
  <c r="AI107" i="455"/>
  <c r="AI106" i="455"/>
  <c r="AI105" i="455"/>
  <c r="AI104" i="455"/>
  <c r="AI103" i="455"/>
  <c r="AI102" i="455"/>
  <c r="AI101" i="455"/>
  <c r="AI100" i="455"/>
  <c r="AI99" i="455"/>
  <c r="AI98" i="455"/>
  <c r="AI97" i="455"/>
  <c r="AI95" i="455"/>
  <c r="AG95" i="455"/>
  <c r="AI94" i="455"/>
  <c r="AG94" i="455"/>
  <c r="AI93" i="455"/>
  <c r="AG93" i="455"/>
  <c r="AI92" i="455"/>
  <c r="AG92" i="455"/>
  <c r="AI91" i="455"/>
  <c r="AG91" i="455"/>
  <c r="AI90" i="455"/>
  <c r="AG90" i="455"/>
  <c r="AI89" i="455"/>
  <c r="AG89" i="455"/>
  <c r="AI88" i="455"/>
  <c r="AG88" i="455"/>
  <c r="AI87" i="455"/>
  <c r="AG87" i="455"/>
  <c r="AI86" i="455"/>
  <c r="AG86" i="455"/>
  <c r="AI84" i="455"/>
  <c r="AG84" i="455"/>
  <c r="AG82" i="455"/>
  <c r="AG81" i="455"/>
  <c r="AG80" i="455"/>
  <c r="AG79" i="455"/>
  <c r="AG77" i="455"/>
  <c r="AG76" i="455"/>
  <c r="AG75" i="455"/>
  <c r="AG73" i="455"/>
  <c r="AG72" i="455"/>
  <c r="AI71" i="455"/>
  <c r="AG71" i="455"/>
  <c r="AG70" i="455"/>
  <c r="AG69" i="455"/>
  <c r="AI67" i="455"/>
  <c r="AI61" i="455"/>
  <c r="AG61" i="455"/>
  <c r="AG60" i="455"/>
  <c r="AG56" i="455"/>
  <c r="AG55" i="455"/>
  <c r="AG54" i="455"/>
  <c r="AG53" i="455"/>
  <c r="AG52" i="455"/>
  <c r="AG51" i="455"/>
  <c r="AG49" i="455"/>
  <c r="AG48" i="455"/>
  <c r="AG47" i="455"/>
  <c r="AE47" i="455"/>
  <c r="AA47" i="455"/>
  <c r="AA48" i="455" s="1"/>
  <c r="W47" i="455"/>
  <c r="S47" i="455"/>
  <c r="AG45" i="455"/>
  <c r="AF45" i="455"/>
  <c r="AF60" i="455" s="1"/>
  <c r="AE45" i="455"/>
  <c r="AE60" i="455" s="1"/>
  <c r="AD45" i="455"/>
  <c r="AD60" i="455" s="1"/>
  <c r="AC45" i="455"/>
  <c r="AB45" i="455"/>
  <c r="AB60" i="455" s="1"/>
  <c r="AA45" i="455"/>
  <c r="AA60" i="455" s="1"/>
  <c r="Z45" i="455"/>
  <c r="Z60" i="455" s="1"/>
  <c r="Y45" i="455"/>
  <c r="X45" i="455"/>
  <c r="X60" i="455" s="1"/>
  <c r="W45" i="455"/>
  <c r="W60" i="455" s="1"/>
  <c r="V45" i="455"/>
  <c r="U45" i="455"/>
  <c r="T45" i="455"/>
  <c r="T60" i="455" s="1"/>
  <c r="S45" i="455"/>
  <c r="S60" i="455" s="1"/>
  <c r="R45" i="455"/>
  <c r="Q45" i="455"/>
  <c r="P45" i="455"/>
  <c r="P60" i="455" s="1"/>
  <c r="O45" i="455"/>
  <c r="O60" i="455" s="1"/>
  <c r="N45" i="455"/>
  <c r="M45" i="455"/>
  <c r="L45" i="455"/>
  <c r="L60" i="455" s="1"/>
  <c r="K45" i="455"/>
  <c r="K60" i="455" s="1"/>
  <c r="J45" i="455"/>
  <c r="I45" i="455"/>
  <c r="H45" i="455"/>
  <c r="H60" i="455" s="1"/>
  <c r="G45" i="455"/>
  <c r="G60" i="455" s="1"/>
  <c r="F45" i="455"/>
  <c r="E45" i="455"/>
  <c r="D45" i="455"/>
  <c r="D60" i="455" s="1"/>
  <c r="C45" i="455"/>
  <c r="C60" i="455" s="1"/>
  <c r="B45" i="455"/>
  <c r="AG44" i="455"/>
  <c r="AG43" i="455"/>
  <c r="AG42" i="455"/>
  <c r="AG41" i="455"/>
  <c r="AG40" i="455"/>
  <c r="AG39" i="455"/>
  <c r="AG38" i="455"/>
  <c r="AG37" i="455"/>
  <c r="AG36" i="455"/>
  <c r="AG35" i="455"/>
  <c r="AG32" i="455"/>
  <c r="AF32" i="455"/>
  <c r="AE32" i="455"/>
  <c r="AD32" i="455"/>
  <c r="AC32" i="455"/>
  <c r="AB32" i="455"/>
  <c r="AA32" i="455"/>
  <c r="Z32" i="455"/>
  <c r="Y32" i="455"/>
  <c r="X32" i="455"/>
  <c r="W32" i="455"/>
  <c r="V32" i="455"/>
  <c r="U32" i="455"/>
  <c r="T32" i="455"/>
  <c r="S32" i="455"/>
  <c r="R32" i="455"/>
  <c r="Q32" i="455"/>
  <c r="P32" i="455"/>
  <c r="O32" i="455"/>
  <c r="N32" i="455"/>
  <c r="M32" i="455"/>
  <c r="L32" i="455"/>
  <c r="K32" i="455"/>
  <c r="J32" i="455"/>
  <c r="I32" i="455"/>
  <c r="H32" i="455"/>
  <c r="G32" i="455"/>
  <c r="F32" i="455"/>
  <c r="E32" i="455"/>
  <c r="D32" i="455"/>
  <c r="C32" i="455"/>
  <c r="B32" i="455"/>
  <c r="AI32" i="455" s="1"/>
  <c r="AG30" i="455"/>
  <c r="AG29" i="455"/>
  <c r="AG28" i="455"/>
  <c r="AG27" i="455"/>
  <c r="AG26" i="455"/>
  <c r="AG25" i="455"/>
  <c r="AG23" i="455"/>
  <c r="AF23" i="455"/>
  <c r="AE23" i="455"/>
  <c r="AD23" i="455"/>
  <c r="AD114" i="455" s="1"/>
  <c r="AC23" i="455"/>
  <c r="AB23" i="455"/>
  <c r="AA23" i="455"/>
  <c r="Z23" i="455"/>
  <c r="Z114" i="455" s="1"/>
  <c r="Y23" i="455"/>
  <c r="X23" i="455"/>
  <c r="W23" i="455"/>
  <c r="V23" i="455"/>
  <c r="V114" i="455" s="1"/>
  <c r="U23" i="455"/>
  <c r="T23" i="455"/>
  <c r="S23" i="455"/>
  <c r="R23" i="455"/>
  <c r="R114" i="455" s="1"/>
  <c r="Q23" i="455"/>
  <c r="P23" i="455"/>
  <c r="O23" i="455"/>
  <c r="N23" i="455"/>
  <c r="N114" i="455" s="1"/>
  <c r="M23" i="455"/>
  <c r="L23" i="455"/>
  <c r="K23" i="455"/>
  <c r="J23" i="455"/>
  <c r="J114" i="455" s="1"/>
  <c r="I23" i="455"/>
  <c r="I114" i="455" s="1"/>
  <c r="H23" i="455"/>
  <c r="G23" i="455"/>
  <c r="F23" i="455"/>
  <c r="F114" i="455" s="1"/>
  <c r="E23" i="455"/>
  <c r="E114" i="455" s="1"/>
  <c r="D23" i="455"/>
  <c r="C23" i="455"/>
  <c r="B23" i="455"/>
  <c r="B114" i="455" s="1"/>
  <c r="AG22" i="455"/>
  <c r="AG21" i="455"/>
  <c r="AG20" i="455"/>
  <c r="AG19" i="455"/>
  <c r="AG18" i="455"/>
  <c r="AG17" i="455"/>
  <c r="AG16" i="455"/>
  <c r="AG15" i="455"/>
  <c r="AG14" i="455"/>
  <c r="AG13" i="455"/>
  <c r="B12" i="455"/>
  <c r="AO10" i="455"/>
  <c r="AH10" i="455"/>
  <c r="AG10" i="455"/>
  <c r="C10" i="455"/>
  <c r="B9" i="455"/>
  <c r="F7" i="455"/>
  <c r="B7" i="455"/>
  <c r="V6" i="455"/>
  <c r="U6" i="455"/>
  <c r="T6" i="455"/>
  <c r="S6" i="455"/>
  <c r="R6" i="455"/>
  <c r="Q6" i="455"/>
  <c r="P6" i="455"/>
  <c r="F6" i="455"/>
  <c r="B6" i="455"/>
  <c r="P5" i="455"/>
  <c r="F5" i="455"/>
  <c r="B5" i="455"/>
  <c r="F4" i="455"/>
  <c r="B4" i="455"/>
  <c r="P3" i="455"/>
  <c r="F3" i="455"/>
  <c r="B3" i="455"/>
  <c r="P2" i="455"/>
  <c r="F2" i="455"/>
  <c r="B2" i="455"/>
  <c r="AQ1" i="455"/>
  <c r="AO1" i="455"/>
  <c r="B1" i="455"/>
  <c r="A1" i="455"/>
  <c r="AF114" i="454"/>
  <c r="AF112" i="454"/>
  <c r="AE112" i="454"/>
  <c r="AD112" i="454"/>
  <c r="AC112" i="454"/>
  <c r="AB112" i="454"/>
  <c r="AA112" i="454"/>
  <c r="Z112" i="454"/>
  <c r="Y112" i="454"/>
  <c r="X112" i="454"/>
  <c r="W112" i="454"/>
  <c r="V112" i="454"/>
  <c r="U112" i="454"/>
  <c r="T112" i="454"/>
  <c r="S112" i="454"/>
  <c r="R112" i="454"/>
  <c r="Q112" i="454"/>
  <c r="P112" i="454"/>
  <c r="O112" i="454"/>
  <c r="N112" i="454"/>
  <c r="M112" i="454"/>
  <c r="L112" i="454"/>
  <c r="K112" i="454"/>
  <c r="J112" i="454"/>
  <c r="I112" i="454"/>
  <c r="H112" i="454"/>
  <c r="G112" i="454"/>
  <c r="F112" i="454"/>
  <c r="E112" i="454"/>
  <c r="D112" i="454"/>
  <c r="AH112" i="454" s="1"/>
  <c r="C112" i="454"/>
  <c r="B112" i="454"/>
  <c r="AH111" i="454"/>
  <c r="AH110" i="454"/>
  <c r="AH109" i="454"/>
  <c r="AH108" i="454"/>
  <c r="AH107" i="454"/>
  <c r="AH106" i="454"/>
  <c r="AH105" i="454"/>
  <c r="AH104" i="454"/>
  <c r="AH103" i="454"/>
  <c r="AH102" i="454"/>
  <c r="AH101" i="454"/>
  <c r="AH100" i="454"/>
  <c r="AH99" i="454"/>
  <c r="AH98" i="454"/>
  <c r="AH97" i="454"/>
  <c r="AH95" i="454"/>
  <c r="AF95" i="454"/>
  <c r="AH94" i="454"/>
  <c r="AF94" i="454"/>
  <c r="AH93" i="454"/>
  <c r="AF93" i="454"/>
  <c r="AH92" i="454"/>
  <c r="AF92" i="454"/>
  <c r="AH91" i="454"/>
  <c r="AF91" i="454"/>
  <c r="AH90" i="454"/>
  <c r="AF90" i="454"/>
  <c r="AH89" i="454"/>
  <c r="AF89" i="454"/>
  <c r="AH88" i="454"/>
  <c r="AF88" i="454"/>
  <c r="AH87" i="454"/>
  <c r="AF87" i="454"/>
  <c r="AH86" i="454"/>
  <c r="AF86" i="454"/>
  <c r="AH84" i="454"/>
  <c r="AF84" i="454"/>
  <c r="AF82" i="454"/>
  <c r="AF81" i="454"/>
  <c r="AF80" i="454"/>
  <c r="AF79" i="454"/>
  <c r="AF77" i="454"/>
  <c r="AF76" i="454"/>
  <c r="AF75" i="454"/>
  <c r="AF73" i="454"/>
  <c r="AF72" i="454"/>
  <c r="AH71" i="454"/>
  <c r="AF71" i="454"/>
  <c r="AF70" i="454"/>
  <c r="AF69" i="454"/>
  <c r="AH67" i="454"/>
  <c r="AH61" i="454"/>
  <c r="AF61" i="454"/>
  <c r="AF60" i="454"/>
  <c r="AF56" i="454"/>
  <c r="AF55" i="454"/>
  <c r="AF54" i="454"/>
  <c r="AF53" i="454"/>
  <c r="AF52" i="454"/>
  <c r="AF51" i="454"/>
  <c r="AF49" i="454"/>
  <c r="AF48" i="454"/>
  <c r="AF47" i="454"/>
  <c r="AF45" i="454"/>
  <c r="AE45" i="454"/>
  <c r="AE60" i="454" s="1"/>
  <c r="AD45" i="454"/>
  <c r="AD60" i="454" s="1"/>
  <c r="AC45" i="454"/>
  <c r="AC60" i="454" s="1"/>
  <c r="AB45" i="454"/>
  <c r="AB60" i="454" s="1"/>
  <c r="AA45" i="454"/>
  <c r="AA60" i="454" s="1"/>
  <c r="Z45" i="454"/>
  <c r="Z60" i="454" s="1"/>
  <c r="Y45" i="454"/>
  <c r="Y60" i="454" s="1"/>
  <c r="X45" i="454"/>
  <c r="X60" i="454" s="1"/>
  <c r="W45" i="454"/>
  <c r="W60" i="454" s="1"/>
  <c r="V45" i="454"/>
  <c r="V47" i="454" s="1"/>
  <c r="U45" i="454"/>
  <c r="U60" i="454" s="1"/>
  <c r="T45" i="454"/>
  <c r="T60" i="454" s="1"/>
  <c r="S45" i="454"/>
  <c r="S60" i="454" s="1"/>
  <c r="R45" i="454"/>
  <c r="R60" i="454" s="1"/>
  <c r="Q45" i="454"/>
  <c r="Q60" i="454" s="1"/>
  <c r="P45" i="454"/>
  <c r="P60" i="454" s="1"/>
  <c r="O45" i="454"/>
  <c r="O60" i="454" s="1"/>
  <c r="N45" i="454"/>
  <c r="N60" i="454" s="1"/>
  <c r="M45" i="454"/>
  <c r="M60" i="454" s="1"/>
  <c r="L45" i="454"/>
  <c r="L60" i="454" s="1"/>
  <c r="K45" i="454"/>
  <c r="K60" i="454" s="1"/>
  <c r="J45" i="454"/>
  <c r="J60" i="454" s="1"/>
  <c r="I45" i="454"/>
  <c r="I60" i="454" s="1"/>
  <c r="H45" i="454"/>
  <c r="H60" i="454" s="1"/>
  <c r="G45" i="454"/>
  <c r="G47" i="454" s="1"/>
  <c r="F45" i="454"/>
  <c r="F60" i="454" s="1"/>
  <c r="E45" i="454"/>
  <c r="E60" i="454" s="1"/>
  <c r="D45" i="454"/>
  <c r="D60" i="454" s="1"/>
  <c r="C45" i="454"/>
  <c r="C60" i="454" s="1"/>
  <c r="B45" i="454"/>
  <c r="B60" i="454" s="1"/>
  <c r="AF44" i="454"/>
  <c r="AF43" i="454"/>
  <c r="AF42" i="454"/>
  <c r="AF41" i="454"/>
  <c r="AF40" i="454"/>
  <c r="AF39" i="454"/>
  <c r="AF38" i="454"/>
  <c r="AF37" i="454"/>
  <c r="AF36" i="454"/>
  <c r="AF35" i="454"/>
  <c r="AF32" i="454"/>
  <c r="AE32" i="454"/>
  <c r="AD32" i="454"/>
  <c r="AC32" i="454"/>
  <c r="AB32" i="454"/>
  <c r="AA32" i="454"/>
  <c r="Z32" i="454"/>
  <c r="Y32" i="454"/>
  <c r="X32" i="454"/>
  <c r="W32" i="454"/>
  <c r="V32" i="454"/>
  <c r="U32" i="454"/>
  <c r="T32" i="454"/>
  <c r="S32" i="454"/>
  <c r="R32" i="454"/>
  <c r="Q32" i="454"/>
  <c r="P32" i="454"/>
  <c r="O32" i="454"/>
  <c r="N32" i="454"/>
  <c r="M32" i="454"/>
  <c r="L32" i="454"/>
  <c r="K32" i="454"/>
  <c r="J32" i="454"/>
  <c r="I32" i="454"/>
  <c r="H32" i="454"/>
  <c r="G32" i="454"/>
  <c r="F32" i="454"/>
  <c r="E32" i="454"/>
  <c r="D32" i="454"/>
  <c r="C32" i="454"/>
  <c r="B32" i="454"/>
  <c r="AH32" i="454" s="1"/>
  <c r="AF30" i="454"/>
  <c r="AF29" i="454"/>
  <c r="AF28" i="454"/>
  <c r="AF27" i="454"/>
  <c r="AF26" i="454"/>
  <c r="AF25" i="454"/>
  <c r="AF23" i="454"/>
  <c r="AE23" i="454"/>
  <c r="AE114" i="454" s="1"/>
  <c r="AD23" i="454"/>
  <c r="AD114" i="454" s="1"/>
  <c r="AC23" i="454"/>
  <c r="AC114" i="454" s="1"/>
  <c r="AB23" i="454"/>
  <c r="AB114" i="454" s="1"/>
  <c r="AA23" i="454"/>
  <c r="AA114" i="454" s="1"/>
  <c r="Z23" i="454"/>
  <c r="Z114" i="454" s="1"/>
  <c r="Y23" i="454"/>
  <c r="Y114" i="454" s="1"/>
  <c r="X23" i="454"/>
  <c r="X114" i="454" s="1"/>
  <c r="W23" i="454"/>
  <c r="W114" i="454" s="1"/>
  <c r="V23" i="454"/>
  <c r="V114" i="454" s="1"/>
  <c r="U23" i="454"/>
  <c r="U114" i="454" s="1"/>
  <c r="T23" i="454"/>
  <c r="T114" i="454" s="1"/>
  <c r="S23" i="454"/>
  <c r="S114" i="454" s="1"/>
  <c r="R23" i="454"/>
  <c r="R114" i="454" s="1"/>
  <c r="Q23" i="454"/>
  <c r="Q114" i="454" s="1"/>
  <c r="P23" i="454"/>
  <c r="P114" i="454" s="1"/>
  <c r="O23" i="454"/>
  <c r="O114" i="454" s="1"/>
  <c r="N23" i="454"/>
  <c r="N114" i="454" s="1"/>
  <c r="M23" i="454"/>
  <c r="M114" i="454" s="1"/>
  <c r="L23" i="454"/>
  <c r="L114" i="454" s="1"/>
  <c r="K23" i="454"/>
  <c r="K114" i="454" s="1"/>
  <c r="J23" i="454"/>
  <c r="J114" i="454" s="1"/>
  <c r="I23" i="454"/>
  <c r="I114" i="454" s="1"/>
  <c r="H23" i="454"/>
  <c r="H114" i="454" s="1"/>
  <c r="G23" i="454"/>
  <c r="G114" i="454" s="1"/>
  <c r="F23" i="454"/>
  <c r="F114" i="454" s="1"/>
  <c r="E23" i="454"/>
  <c r="E114" i="454" s="1"/>
  <c r="D23" i="454"/>
  <c r="D114" i="454" s="1"/>
  <c r="C23" i="454"/>
  <c r="C114" i="454" s="1"/>
  <c r="B23" i="454"/>
  <c r="B114" i="454" s="1"/>
  <c r="AH114" i="454" s="1"/>
  <c r="AF22" i="454"/>
  <c r="AF21" i="454"/>
  <c r="AF20" i="454"/>
  <c r="AF19" i="454"/>
  <c r="AF18" i="454"/>
  <c r="AF17" i="454"/>
  <c r="AF16" i="454"/>
  <c r="AF15" i="454"/>
  <c r="AF14" i="454"/>
  <c r="AF13" i="454"/>
  <c r="B12" i="454"/>
  <c r="AN10" i="454"/>
  <c r="AG10" i="454"/>
  <c r="AF10" i="454"/>
  <c r="C10" i="454"/>
  <c r="C12" i="454" s="1"/>
  <c r="F7" i="454"/>
  <c r="B7" i="454"/>
  <c r="V6" i="454"/>
  <c r="U6" i="454"/>
  <c r="T6" i="454"/>
  <c r="S6" i="454"/>
  <c r="R6" i="454"/>
  <c r="C9" i="454" s="1"/>
  <c r="Q6" i="454"/>
  <c r="B9" i="454" s="1"/>
  <c r="P6" i="454"/>
  <c r="F6" i="454"/>
  <c r="B6" i="454"/>
  <c r="P5" i="454"/>
  <c r="F5" i="454"/>
  <c r="B5" i="454"/>
  <c r="F4" i="454"/>
  <c r="B4" i="454"/>
  <c r="P3" i="454"/>
  <c r="F3" i="454"/>
  <c r="B3" i="454"/>
  <c r="P2" i="454"/>
  <c r="F2" i="454"/>
  <c r="B2" i="454"/>
  <c r="AP1" i="454"/>
  <c r="AN1" i="454"/>
  <c r="B1" i="454"/>
  <c r="A1" i="454"/>
  <c r="AG114" i="453"/>
  <c r="AG112" i="453"/>
  <c r="AF112" i="453"/>
  <c r="AE112" i="453"/>
  <c r="AD112" i="453"/>
  <c r="AC112" i="453"/>
  <c r="AB112" i="453"/>
  <c r="AA112" i="453"/>
  <c r="Z112" i="453"/>
  <c r="Y112" i="453"/>
  <c r="X112" i="453"/>
  <c r="W112" i="453"/>
  <c r="V112" i="453"/>
  <c r="U112" i="453"/>
  <c r="T112" i="453"/>
  <c r="S112" i="453"/>
  <c r="R112" i="453"/>
  <c r="Q112" i="453"/>
  <c r="P112" i="453"/>
  <c r="O112" i="453"/>
  <c r="N112" i="453"/>
  <c r="M112" i="453"/>
  <c r="L112" i="453"/>
  <c r="K112" i="453"/>
  <c r="J112" i="453"/>
  <c r="I112" i="453"/>
  <c r="H112" i="453"/>
  <c r="G112" i="453"/>
  <c r="F112" i="453"/>
  <c r="E112" i="453"/>
  <c r="D112" i="453"/>
  <c r="C112" i="453"/>
  <c r="B112" i="453"/>
  <c r="AI111" i="453"/>
  <c r="AI110" i="453"/>
  <c r="AI109" i="453"/>
  <c r="AI108" i="453"/>
  <c r="AI107" i="453"/>
  <c r="AI106" i="453"/>
  <c r="AI105" i="453"/>
  <c r="AI104" i="453"/>
  <c r="AI103" i="453"/>
  <c r="AI102" i="453"/>
  <c r="AI101" i="453"/>
  <c r="AI100" i="453"/>
  <c r="AI99" i="453"/>
  <c r="AI98" i="453"/>
  <c r="AI97" i="453"/>
  <c r="AI95" i="453"/>
  <c r="AG95" i="453"/>
  <c r="AI94" i="453"/>
  <c r="AG94" i="453"/>
  <c r="AI93" i="453"/>
  <c r="AG93" i="453"/>
  <c r="AI92" i="453"/>
  <c r="AG92" i="453"/>
  <c r="AI91" i="453"/>
  <c r="AG91" i="453"/>
  <c r="AI90" i="453"/>
  <c r="AG90" i="453"/>
  <c r="AI89" i="453"/>
  <c r="AG89" i="453"/>
  <c r="AI88" i="453"/>
  <c r="AG88" i="453"/>
  <c r="AI87" i="453"/>
  <c r="AG87" i="453"/>
  <c r="AI86" i="453"/>
  <c r="AG86" i="453"/>
  <c r="AI84" i="453"/>
  <c r="AG84" i="453"/>
  <c r="AG82" i="453"/>
  <c r="AG81" i="453"/>
  <c r="AG80" i="453"/>
  <c r="AG79" i="453"/>
  <c r="AG77" i="453"/>
  <c r="AG76" i="453"/>
  <c r="AG75" i="453"/>
  <c r="AG73" i="453"/>
  <c r="AG72" i="453"/>
  <c r="AI71" i="453"/>
  <c r="AG71" i="453"/>
  <c r="AG70" i="453"/>
  <c r="AG69" i="453"/>
  <c r="AI67" i="453"/>
  <c r="AI61" i="453"/>
  <c r="AG61" i="453"/>
  <c r="AG60" i="453"/>
  <c r="AG56" i="453"/>
  <c r="AG55" i="453"/>
  <c r="AG54" i="453"/>
  <c r="AG53" i="453"/>
  <c r="AG52" i="453"/>
  <c r="AG51" i="453"/>
  <c r="AG49" i="453"/>
  <c r="AG48" i="453"/>
  <c r="AG47" i="453"/>
  <c r="AC47" i="453"/>
  <c r="AA47" i="453"/>
  <c r="Y47" i="453"/>
  <c r="U47" i="453"/>
  <c r="Q47" i="453"/>
  <c r="M47" i="453"/>
  <c r="I47" i="453"/>
  <c r="E47" i="453"/>
  <c r="AG45" i="453"/>
  <c r="AF45" i="453"/>
  <c r="AE45" i="453"/>
  <c r="AE60" i="453" s="1"/>
  <c r="AD45" i="453"/>
  <c r="AD60" i="453" s="1"/>
  <c r="AC45" i="453"/>
  <c r="AC60" i="453" s="1"/>
  <c r="AB45" i="453"/>
  <c r="AA45" i="453"/>
  <c r="AA60" i="453" s="1"/>
  <c r="Z45" i="453"/>
  <c r="Z60" i="453" s="1"/>
  <c r="Y45" i="453"/>
  <c r="Y60" i="453" s="1"/>
  <c r="X45" i="453"/>
  <c r="W45" i="453"/>
  <c r="W60" i="453" s="1"/>
  <c r="V45" i="453"/>
  <c r="V60" i="453" s="1"/>
  <c r="U45" i="453"/>
  <c r="U60" i="453" s="1"/>
  <c r="T45" i="453"/>
  <c r="S45" i="453"/>
  <c r="S60" i="453" s="1"/>
  <c r="R45" i="453"/>
  <c r="R60" i="453" s="1"/>
  <c r="Q45" i="453"/>
  <c r="Q60" i="453" s="1"/>
  <c r="P45" i="453"/>
  <c r="O45" i="453"/>
  <c r="O60" i="453" s="1"/>
  <c r="N45" i="453"/>
  <c r="N60" i="453" s="1"/>
  <c r="M45" i="453"/>
  <c r="M60" i="453" s="1"/>
  <c r="L45" i="453"/>
  <c r="K45" i="453"/>
  <c r="K60" i="453" s="1"/>
  <c r="J45" i="453"/>
  <c r="J60" i="453" s="1"/>
  <c r="I45" i="453"/>
  <c r="I60" i="453" s="1"/>
  <c r="H45" i="453"/>
  <c r="G45" i="453"/>
  <c r="G60" i="453" s="1"/>
  <c r="F45" i="453"/>
  <c r="F60" i="453" s="1"/>
  <c r="E45" i="453"/>
  <c r="E60" i="453" s="1"/>
  <c r="D45" i="453"/>
  <c r="C45" i="453"/>
  <c r="C60" i="453" s="1"/>
  <c r="B45" i="453"/>
  <c r="B60" i="453" s="1"/>
  <c r="AG44" i="453"/>
  <c r="AG43" i="453"/>
  <c r="AG42" i="453"/>
  <c r="AG41" i="453"/>
  <c r="AG40" i="453"/>
  <c r="AG39" i="453"/>
  <c r="AG38" i="453"/>
  <c r="AG37" i="453"/>
  <c r="AG36" i="453"/>
  <c r="AG35" i="453"/>
  <c r="AG32" i="453"/>
  <c r="AF32" i="453"/>
  <c r="AE32" i="453"/>
  <c r="AD32" i="453"/>
  <c r="AC32" i="453"/>
  <c r="AB32" i="453"/>
  <c r="AA32" i="453"/>
  <c r="Z32" i="453"/>
  <c r="Y32" i="453"/>
  <c r="X32" i="453"/>
  <c r="W32" i="453"/>
  <c r="V32" i="453"/>
  <c r="U32" i="453"/>
  <c r="T32" i="453"/>
  <c r="S32" i="453"/>
  <c r="R32" i="453"/>
  <c r="Q32" i="453"/>
  <c r="P32" i="453"/>
  <c r="O32" i="453"/>
  <c r="N32" i="453"/>
  <c r="M32" i="453"/>
  <c r="L32" i="453"/>
  <c r="K32" i="453"/>
  <c r="J32" i="453"/>
  <c r="I32" i="453"/>
  <c r="H32" i="453"/>
  <c r="G32" i="453"/>
  <c r="F32" i="453"/>
  <c r="E32" i="453"/>
  <c r="D32" i="453"/>
  <c r="C32" i="453"/>
  <c r="B32" i="453"/>
  <c r="AI32" i="453" s="1"/>
  <c r="AG30" i="453"/>
  <c r="AG29" i="453"/>
  <c r="AG28" i="453"/>
  <c r="AG27" i="453"/>
  <c r="AG26" i="453"/>
  <c r="AG25" i="453"/>
  <c r="AG23" i="453"/>
  <c r="AF23" i="453"/>
  <c r="AE23" i="453"/>
  <c r="AE114" i="453" s="1"/>
  <c r="AD23" i="453"/>
  <c r="AC23" i="453"/>
  <c r="AC114" i="453" s="1"/>
  <c r="AB23" i="453"/>
  <c r="AA23" i="453"/>
  <c r="AA114" i="453" s="1"/>
  <c r="Z23" i="453"/>
  <c r="Y23" i="453"/>
  <c r="Y114" i="453" s="1"/>
  <c r="X23" i="453"/>
  <c r="W23" i="453"/>
  <c r="W114" i="453" s="1"/>
  <c r="V23" i="453"/>
  <c r="U23" i="453"/>
  <c r="U114" i="453" s="1"/>
  <c r="T23" i="453"/>
  <c r="S23" i="453"/>
  <c r="S114" i="453" s="1"/>
  <c r="R23" i="453"/>
  <c r="Q23" i="453"/>
  <c r="Q114" i="453" s="1"/>
  <c r="P23" i="453"/>
  <c r="O23" i="453"/>
  <c r="O114" i="453" s="1"/>
  <c r="N23" i="453"/>
  <c r="M23" i="453"/>
  <c r="M114" i="453" s="1"/>
  <c r="L23" i="453"/>
  <c r="K23" i="453"/>
  <c r="K114" i="453" s="1"/>
  <c r="J23" i="453"/>
  <c r="I23" i="453"/>
  <c r="I114" i="453" s="1"/>
  <c r="H23" i="453"/>
  <c r="G23" i="453"/>
  <c r="G114" i="453" s="1"/>
  <c r="F23" i="453"/>
  <c r="E23" i="453"/>
  <c r="E114" i="453" s="1"/>
  <c r="D23" i="453"/>
  <c r="C23" i="453"/>
  <c r="C114" i="453" s="1"/>
  <c r="B23" i="453"/>
  <c r="AG22" i="453"/>
  <c r="AG21" i="453"/>
  <c r="AG20" i="453"/>
  <c r="AG19" i="453"/>
  <c r="AG18" i="453"/>
  <c r="AG17" i="453"/>
  <c r="AG16" i="453"/>
  <c r="AG15" i="453"/>
  <c r="AG14" i="453"/>
  <c r="AG13" i="453"/>
  <c r="B12" i="453"/>
  <c r="AO10" i="453"/>
  <c r="AH10" i="453"/>
  <c r="AG10" i="453"/>
  <c r="C10" i="453"/>
  <c r="F7" i="453"/>
  <c r="B7" i="453"/>
  <c r="V6" i="453"/>
  <c r="U6" i="453"/>
  <c r="B9" i="453" s="1"/>
  <c r="T6" i="453"/>
  <c r="S6" i="453"/>
  <c r="R6" i="453"/>
  <c r="Q6" i="453"/>
  <c r="P6" i="453"/>
  <c r="F6" i="453"/>
  <c r="B6" i="453"/>
  <c r="P5" i="453"/>
  <c r="F5" i="453"/>
  <c r="B5" i="453"/>
  <c r="F4" i="453"/>
  <c r="B4" i="453"/>
  <c r="P3" i="453"/>
  <c r="F3" i="453"/>
  <c r="B3" i="453"/>
  <c r="P2" i="453"/>
  <c r="F2" i="453"/>
  <c r="B2" i="453"/>
  <c r="AQ1" i="453"/>
  <c r="AO1" i="453"/>
  <c r="B1" i="453"/>
  <c r="A1" i="453"/>
  <c r="AF114" i="452"/>
  <c r="AF112" i="452"/>
  <c r="AE112" i="452"/>
  <c r="AD112" i="452"/>
  <c r="AC112" i="452"/>
  <c r="AB112" i="452"/>
  <c r="AA112" i="452"/>
  <c r="Z112" i="452"/>
  <c r="Y112" i="452"/>
  <c r="X112" i="452"/>
  <c r="W112" i="452"/>
  <c r="V112" i="452"/>
  <c r="U112" i="452"/>
  <c r="T112" i="452"/>
  <c r="S112" i="452"/>
  <c r="R112" i="452"/>
  <c r="Q112" i="452"/>
  <c r="P112" i="452"/>
  <c r="O112" i="452"/>
  <c r="N112" i="452"/>
  <c r="M112" i="452"/>
  <c r="L112" i="452"/>
  <c r="K112" i="452"/>
  <c r="J112" i="452"/>
  <c r="I112" i="452"/>
  <c r="H112" i="452"/>
  <c r="G112" i="452"/>
  <c r="F112" i="452"/>
  <c r="E112" i="452"/>
  <c r="D112" i="452"/>
  <c r="C112" i="452"/>
  <c r="B112" i="452"/>
  <c r="AH111" i="452"/>
  <c r="AH110" i="452"/>
  <c r="AH109" i="452"/>
  <c r="AH108" i="452"/>
  <c r="AH107" i="452"/>
  <c r="AH106" i="452"/>
  <c r="AH105" i="452"/>
  <c r="AH104" i="452"/>
  <c r="AH103" i="452"/>
  <c r="AH102" i="452"/>
  <c r="AH101" i="452"/>
  <c r="AH100" i="452"/>
  <c r="AH99" i="452"/>
  <c r="AH98" i="452"/>
  <c r="AH97" i="452"/>
  <c r="AH95" i="452"/>
  <c r="AF95" i="452"/>
  <c r="AH94" i="452"/>
  <c r="AF94" i="452"/>
  <c r="AH93" i="452"/>
  <c r="AF93" i="452"/>
  <c r="AH92" i="452"/>
  <c r="AF92" i="452"/>
  <c r="AH91" i="452"/>
  <c r="AF91" i="452"/>
  <c r="AH90" i="452"/>
  <c r="AF90" i="452"/>
  <c r="AH89" i="452"/>
  <c r="AF89" i="452"/>
  <c r="AH88" i="452"/>
  <c r="AF88" i="452"/>
  <c r="AH87" i="452"/>
  <c r="AF87" i="452"/>
  <c r="AH86" i="452"/>
  <c r="AF86" i="452"/>
  <c r="AH84" i="452"/>
  <c r="AF84" i="452"/>
  <c r="AF82" i="452"/>
  <c r="AF81" i="452"/>
  <c r="AF80" i="452"/>
  <c r="AF79" i="452"/>
  <c r="AF77" i="452"/>
  <c r="AF76" i="452"/>
  <c r="AF75" i="452"/>
  <c r="AF73" i="452"/>
  <c r="AF72" i="452"/>
  <c r="AH71" i="452"/>
  <c r="AF71" i="452"/>
  <c r="AF70" i="452"/>
  <c r="AF69" i="452"/>
  <c r="AH67" i="452"/>
  <c r="AH61" i="452"/>
  <c r="AF61" i="452"/>
  <c r="AF60" i="452"/>
  <c r="AD60" i="452"/>
  <c r="AB60" i="452"/>
  <c r="Z60" i="452"/>
  <c r="X60" i="452"/>
  <c r="V60" i="452"/>
  <c r="T60" i="452"/>
  <c r="R60" i="452"/>
  <c r="P60" i="452"/>
  <c r="N60" i="452"/>
  <c r="L60" i="452"/>
  <c r="J60" i="452"/>
  <c r="H60" i="452"/>
  <c r="F60" i="452"/>
  <c r="D60" i="452"/>
  <c r="B60" i="452"/>
  <c r="AF56" i="452"/>
  <c r="AF55" i="452"/>
  <c r="AF54" i="452"/>
  <c r="AF53" i="452"/>
  <c r="AF52" i="452"/>
  <c r="AF51" i="452"/>
  <c r="AF49" i="452"/>
  <c r="AF48" i="452"/>
  <c r="AF47" i="452"/>
  <c r="AE47" i="452"/>
  <c r="AA47" i="452"/>
  <c r="W47" i="452"/>
  <c r="S47" i="452"/>
  <c r="O47" i="452"/>
  <c r="K47" i="452"/>
  <c r="G47" i="452"/>
  <c r="C47" i="452"/>
  <c r="AF45" i="452"/>
  <c r="AE45" i="452"/>
  <c r="AD45" i="452"/>
  <c r="AD47" i="452" s="1"/>
  <c r="AC45" i="452"/>
  <c r="AC47" i="452" s="1"/>
  <c r="AB45" i="452"/>
  <c r="AB47" i="452" s="1"/>
  <c r="AA45" i="452"/>
  <c r="Z45" i="452"/>
  <c r="Z47" i="452" s="1"/>
  <c r="Y45" i="452"/>
  <c r="X45" i="452"/>
  <c r="X47" i="452" s="1"/>
  <c r="W45" i="452"/>
  <c r="V45" i="452"/>
  <c r="V47" i="452" s="1"/>
  <c r="U45" i="452"/>
  <c r="U47" i="452" s="1"/>
  <c r="T45" i="452"/>
  <c r="T47" i="452" s="1"/>
  <c r="S45" i="452"/>
  <c r="R45" i="452"/>
  <c r="R47" i="452" s="1"/>
  <c r="Q45" i="452"/>
  <c r="P45" i="452"/>
  <c r="P47" i="452" s="1"/>
  <c r="O45" i="452"/>
  <c r="N45" i="452"/>
  <c r="N47" i="452" s="1"/>
  <c r="M45" i="452"/>
  <c r="M47" i="452" s="1"/>
  <c r="L45" i="452"/>
  <c r="L47" i="452" s="1"/>
  <c r="K45" i="452"/>
  <c r="J45" i="452"/>
  <c r="J47" i="452" s="1"/>
  <c r="I45" i="452"/>
  <c r="H45" i="452"/>
  <c r="H47" i="452" s="1"/>
  <c r="G45" i="452"/>
  <c r="F45" i="452"/>
  <c r="F47" i="452" s="1"/>
  <c r="E45" i="452"/>
  <c r="E47" i="452" s="1"/>
  <c r="D45" i="452"/>
  <c r="D47" i="452" s="1"/>
  <c r="C45" i="452"/>
  <c r="B45" i="452"/>
  <c r="B47" i="452" s="1"/>
  <c r="AF44" i="452"/>
  <c r="AF43" i="452"/>
  <c r="AF42" i="452"/>
  <c r="AF41" i="452"/>
  <c r="AF40" i="452"/>
  <c r="AF39" i="452"/>
  <c r="AF38" i="452"/>
  <c r="AF37" i="452"/>
  <c r="AF36" i="452"/>
  <c r="AF35" i="452"/>
  <c r="AF32" i="452"/>
  <c r="AE32" i="452"/>
  <c r="AD32" i="452"/>
  <c r="AC32" i="452"/>
  <c r="AB32" i="452"/>
  <c r="AA32" i="452"/>
  <c r="Z32" i="452"/>
  <c r="Y32" i="452"/>
  <c r="X32" i="452"/>
  <c r="W32" i="452"/>
  <c r="V32" i="452"/>
  <c r="U32" i="452"/>
  <c r="T32" i="452"/>
  <c r="S32" i="452"/>
  <c r="R32" i="452"/>
  <c r="Q32" i="452"/>
  <c r="P32" i="452"/>
  <c r="O32" i="452"/>
  <c r="N32" i="452"/>
  <c r="M32" i="452"/>
  <c r="L32" i="452"/>
  <c r="K32" i="452"/>
  <c r="J32" i="452"/>
  <c r="I32" i="452"/>
  <c r="H32" i="452"/>
  <c r="G32" i="452"/>
  <c r="F32" i="452"/>
  <c r="E32" i="452"/>
  <c r="D32" i="452"/>
  <c r="C32" i="452"/>
  <c r="B32" i="452"/>
  <c r="AH32" i="452" s="1"/>
  <c r="AF30" i="452"/>
  <c r="AF29" i="452"/>
  <c r="AF28" i="452"/>
  <c r="AF27" i="452"/>
  <c r="AF26" i="452"/>
  <c r="AF25" i="452"/>
  <c r="AF23" i="452"/>
  <c r="AE23" i="452"/>
  <c r="AD23" i="452"/>
  <c r="AD114" i="452" s="1"/>
  <c r="AC23" i="452"/>
  <c r="AB23" i="452"/>
  <c r="AB114" i="452" s="1"/>
  <c r="AA23" i="452"/>
  <c r="Z23" i="452"/>
  <c r="Z114" i="452" s="1"/>
  <c r="Y23" i="452"/>
  <c r="X23" i="452"/>
  <c r="X114" i="452" s="1"/>
  <c r="W23" i="452"/>
  <c r="V23" i="452"/>
  <c r="V114" i="452" s="1"/>
  <c r="U23" i="452"/>
  <c r="T23" i="452"/>
  <c r="T114" i="452" s="1"/>
  <c r="S23" i="452"/>
  <c r="R23" i="452"/>
  <c r="R114" i="452" s="1"/>
  <c r="Q23" i="452"/>
  <c r="P23" i="452"/>
  <c r="P114" i="452" s="1"/>
  <c r="O23" i="452"/>
  <c r="N23" i="452"/>
  <c r="N114" i="452" s="1"/>
  <c r="M23" i="452"/>
  <c r="L23" i="452"/>
  <c r="L114" i="452" s="1"/>
  <c r="K23" i="452"/>
  <c r="J23" i="452"/>
  <c r="J114" i="452" s="1"/>
  <c r="I23" i="452"/>
  <c r="H23" i="452"/>
  <c r="H114" i="452" s="1"/>
  <c r="G23" i="452"/>
  <c r="F23" i="452"/>
  <c r="F114" i="452" s="1"/>
  <c r="E23" i="452"/>
  <c r="D23" i="452"/>
  <c r="D114" i="452" s="1"/>
  <c r="C23" i="452"/>
  <c r="B23" i="452"/>
  <c r="B114" i="452" s="1"/>
  <c r="AF22" i="452"/>
  <c r="AF21" i="452"/>
  <c r="AF20" i="452"/>
  <c r="AF19" i="452"/>
  <c r="AF18" i="452"/>
  <c r="AF17" i="452"/>
  <c r="AF16" i="452"/>
  <c r="AF15" i="452"/>
  <c r="AF14" i="452"/>
  <c r="AF13" i="452"/>
  <c r="B12" i="452"/>
  <c r="AN10" i="452"/>
  <c r="AG10" i="452"/>
  <c r="AF10" i="452"/>
  <c r="C10" i="452"/>
  <c r="C12" i="452" s="1"/>
  <c r="B9" i="452"/>
  <c r="F7" i="452"/>
  <c r="B7" i="452"/>
  <c r="V6" i="452"/>
  <c r="U6" i="452"/>
  <c r="T6" i="452"/>
  <c r="S6" i="452"/>
  <c r="R6" i="452"/>
  <c r="Q6" i="452"/>
  <c r="P6" i="452"/>
  <c r="F6" i="452"/>
  <c r="B6" i="452"/>
  <c r="P5" i="452"/>
  <c r="F5" i="452"/>
  <c r="B5" i="452"/>
  <c r="F4" i="452"/>
  <c r="B4" i="452"/>
  <c r="P3" i="452"/>
  <c r="F3" i="452"/>
  <c r="B3" i="452"/>
  <c r="P2" i="452"/>
  <c r="F2" i="452"/>
  <c r="B2" i="452"/>
  <c r="AP1" i="452"/>
  <c r="AN1" i="452"/>
  <c r="B1" i="452"/>
  <c r="A1" i="452"/>
  <c r="AG114" i="451"/>
  <c r="AG112" i="451"/>
  <c r="AF112" i="451"/>
  <c r="AE112" i="451"/>
  <c r="AD112" i="451"/>
  <c r="AC112" i="451"/>
  <c r="AB112" i="451"/>
  <c r="AA112" i="451"/>
  <c r="Z112" i="451"/>
  <c r="Y112" i="451"/>
  <c r="X112" i="451"/>
  <c r="W112" i="451"/>
  <c r="V112" i="451"/>
  <c r="U112" i="451"/>
  <c r="T112" i="451"/>
  <c r="S112" i="451"/>
  <c r="R112" i="451"/>
  <c r="Q112" i="451"/>
  <c r="P112" i="451"/>
  <c r="O112" i="451"/>
  <c r="N112" i="451"/>
  <c r="M112" i="451"/>
  <c r="L112" i="451"/>
  <c r="K112" i="451"/>
  <c r="J112" i="451"/>
  <c r="I112" i="451"/>
  <c r="H112" i="451"/>
  <c r="G112" i="451"/>
  <c r="F112" i="451"/>
  <c r="E112" i="451"/>
  <c r="D112" i="451"/>
  <c r="C112" i="451"/>
  <c r="B112" i="451"/>
  <c r="AI112" i="451" s="1"/>
  <c r="AI111" i="451"/>
  <c r="AI110" i="451"/>
  <c r="AI109" i="451"/>
  <c r="AI108" i="451"/>
  <c r="AI107" i="451"/>
  <c r="AI106" i="451"/>
  <c r="AI105" i="451"/>
  <c r="AI104" i="451"/>
  <c r="AI103" i="451"/>
  <c r="AI102" i="451"/>
  <c r="AI101" i="451"/>
  <c r="AI100" i="451"/>
  <c r="AI99" i="451"/>
  <c r="AI98" i="451"/>
  <c r="AI97" i="451"/>
  <c r="AI95" i="451"/>
  <c r="AG95" i="451"/>
  <c r="AI94" i="451"/>
  <c r="AG94" i="451"/>
  <c r="AI93" i="451"/>
  <c r="AG93" i="451"/>
  <c r="AI92" i="451"/>
  <c r="AG92" i="451"/>
  <c r="AI91" i="451"/>
  <c r="AG91" i="451"/>
  <c r="AI90" i="451"/>
  <c r="AG90" i="451"/>
  <c r="AI89" i="451"/>
  <c r="AG89" i="451"/>
  <c r="AI88" i="451"/>
  <c r="AG88" i="451"/>
  <c r="AI87" i="451"/>
  <c r="AG87" i="451"/>
  <c r="AI86" i="451"/>
  <c r="AG86" i="451"/>
  <c r="AI84" i="451"/>
  <c r="AG84" i="451"/>
  <c r="AG82" i="451"/>
  <c r="AG81" i="451"/>
  <c r="AG80" i="451"/>
  <c r="AG79" i="451"/>
  <c r="AG77" i="451"/>
  <c r="AG76" i="451"/>
  <c r="AG75" i="451"/>
  <c r="AG73" i="451"/>
  <c r="AG72" i="451"/>
  <c r="AI71" i="451"/>
  <c r="AG71" i="451"/>
  <c r="AG70" i="451"/>
  <c r="AG69" i="451"/>
  <c r="AI67" i="451"/>
  <c r="AI61" i="451"/>
  <c r="AG61" i="451"/>
  <c r="AG60" i="451"/>
  <c r="AG56" i="451"/>
  <c r="AG55" i="451"/>
  <c r="AG54" i="451"/>
  <c r="AG53" i="451"/>
  <c r="AG52" i="451"/>
  <c r="AG51" i="451"/>
  <c r="AG49" i="451"/>
  <c r="AG48" i="451"/>
  <c r="AG47" i="451"/>
  <c r="AE47" i="451"/>
  <c r="AA47" i="451"/>
  <c r="AA48" i="451" s="1"/>
  <c r="W47" i="451"/>
  <c r="S47" i="451"/>
  <c r="O47" i="451"/>
  <c r="K47" i="451"/>
  <c r="K48" i="451" s="1"/>
  <c r="G47" i="451"/>
  <c r="C47" i="451"/>
  <c r="AG45" i="451"/>
  <c r="AF45" i="451"/>
  <c r="AF60" i="451" s="1"/>
  <c r="AE45" i="451"/>
  <c r="AE60" i="451" s="1"/>
  <c r="AD45" i="451"/>
  <c r="AD60" i="451" s="1"/>
  <c r="AC45" i="451"/>
  <c r="AB45" i="451"/>
  <c r="AB60" i="451" s="1"/>
  <c r="AA45" i="451"/>
  <c r="AA60" i="451" s="1"/>
  <c r="Z45" i="451"/>
  <c r="Z60" i="451" s="1"/>
  <c r="Y45" i="451"/>
  <c r="X45" i="451"/>
  <c r="W45" i="451"/>
  <c r="W60" i="451" s="1"/>
  <c r="V45" i="451"/>
  <c r="V60" i="451" s="1"/>
  <c r="U45" i="451"/>
  <c r="T45" i="451"/>
  <c r="S45" i="451"/>
  <c r="S60" i="451" s="1"/>
  <c r="R45" i="451"/>
  <c r="R60" i="451" s="1"/>
  <c r="Q45" i="451"/>
  <c r="Q60" i="451" s="1"/>
  <c r="P45" i="451"/>
  <c r="P60" i="451" s="1"/>
  <c r="O45" i="451"/>
  <c r="O60" i="451" s="1"/>
  <c r="N45" i="451"/>
  <c r="N60" i="451" s="1"/>
  <c r="M45" i="451"/>
  <c r="L45" i="451"/>
  <c r="L60" i="451" s="1"/>
  <c r="K45" i="451"/>
  <c r="K60" i="451" s="1"/>
  <c r="J45" i="451"/>
  <c r="J60" i="451" s="1"/>
  <c r="I45" i="451"/>
  <c r="H45" i="451"/>
  <c r="G45" i="451"/>
  <c r="G60" i="451" s="1"/>
  <c r="F45" i="451"/>
  <c r="F60" i="451" s="1"/>
  <c r="E45" i="451"/>
  <c r="D45" i="451"/>
  <c r="C45" i="451"/>
  <c r="C60" i="451" s="1"/>
  <c r="B45" i="451"/>
  <c r="B60" i="451" s="1"/>
  <c r="AG44" i="451"/>
  <c r="AG43" i="451"/>
  <c r="AG42" i="451"/>
  <c r="AG41" i="451"/>
  <c r="AG40" i="451"/>
  <c r="AG39" i="451"/>
  <c r="AG38" i="451"/>
  <c r="AG37" i="451"/>
  <c r="AG36" i="451"/>
  <c r="AG35" i="451"/>
  <c r="AG32" i="451"/>
  <c r="AF32" i="451"/>
  <c r="AE32" i="451"/>
  <c r="AD32" i="451"/>
  <c r="AC32" i="451"/>
  <c r="AB32" i="451"/>
  <c r="AA32" i="451"/>
  <c r="Z32" i="451"/>
  <c r="Y32" i="451"/>
  <c r="X32" i="451"/>
  <c r="W32" i="451"/>
  <c r="V32" i="451"/>
  <c r="U32" i="451"/>
  <c r="T32" i="451"/>
  <c r="S32" i="451"/>
  <c r="R32" i="451"/>
  <c r="Q32" i="451"/>
  <c r="P32" i="451"/>
  <c r="O32" i="451"/>
  <c r="N32" i="451"/>
  <c r="M32" i="451"/>
  <c r="L32" i="451"/>
  <c r="K32" i="451"/>
  <c r="J32" i="451"/>
  <c r="I32" i="451"/>
  <c r="H32" i="451"/>
  <c r="G32" i="451"/>
  <c r="F32" i="451"/>
  <c r="E32" i="451"/>
  <c r="D32" i="451"/>
  <c r="C32" i="451"/>
  <c r="B32" i="451"/>
  <c r="AI32" i="451" s="1"/>
  <c r="AG30" i="451"/>
  <c r="AG29" i="451"/>
  <c r="AG28" i="451"/>
  <c r="AG27" i="451"/>
  <c r="AG26" i="451"/>
  <c r="AG25" i="451"/>
  <c r="AG23" i="451"/>
  <c r="AF23" i="451"/>
  <c r="AE23" i="451"/>
  <c r="AE114" i="451" s="1"/>
  <c r="AD23" i="451"/>
  <c r="AD114" i="451" s="1"/>
  <c r="AC23" i="451"/>
  <c r="AC114" i="451" s="1"/>
  <c r="AB23" i="451"/>
  <c r="AA23" i="451"/>
  <c r="AA114" i="451" s="1"/>
  <c r="Z23" i="451"/>
  <c r="Z114" i="451" s="1"/>
  <c r="Y23" i="451"/>
  <c r="Y114" i="451" s="1"/>
  <c r="X23" i="451"/>
  <c r="W23" i="451"/>
  <c r="W114" i="451" s="1"/>
  <c r="V23" i="451"/>
  <c r="V114" i="451" s="1"/>
  <c r="U23" i="451"/>
  <c r="U114" i="451" s="1"/>
  <c r="T23" i="451"/>
  <c r="S23" i="451"/>
  <c r="S114" i="451" s="1"/>
  <c r="R23" i="451"/>
  <c r="R114" i="451" s="1"/>
  <c r="Q23" i="451"/>
  <c r="Q114" i="451" s="1"/>
  <c r="P23" i="451"/>
  <c r="O23" i="451"/>
  <c r="O114" i="451" s="1"/>
  <c r="N23" i="451"/>
  <c r="N114" i="451" s="1"/>
  <c r="M23" i="451"/>
  <c r="M114" i="451" s="1"/>
  <c r="L23" i="451"/>
  <c r="K23" i="451"/>
  <c r="K114" i="451" s="1"/>
  <c r="J23" i="451"/>
  <c r="J114" i="451" s="1"/>
  <c r="I23" i="451"/>
  <c r="I114" i="451" s="1"/>
  <c r="H23" i="451"/>
  <c r="G23" i="451"/>
  <c r="G114" i="451" s="1"/>
  <c r="F23" i="451"/>
  <c r="F114" i="451" s="1"/>
  <c r="E23" i="451"/>
  <c r="E114" i="451" s="1"/>
  <c r="D23" i="451"/>
  <c r="C23" i="451"/>
  <c r="C114" i="451" s="1"/>
  <c r="B23" i="451"/>
  <c r="B114" i="451" s="1"/>
  <c r="AG22" i="451"/>
  <c r="AG21" i="451"/>
  <c r="AG20" i="451"/>
  <c r="AG19" i="451"/>
  <c r="AG18" i="451"/>
  <c r="AG17" i="451"/>
  <c r="AG16" i="451"/>
  <c r="AG15" i="451"/>
  <c r="AG14" i="451"/>
  <c r="AG13" i="451"/>
  <c r="B12" i="451"/>
  <c r="AO10" i="451"/>
  <c r="AH10" i="451"/>
  <c r="AG10" i="451"/>
  <c r="C10" i="451"/>
  <c r="F7" i="451"/>
  <c r="B7" i="451"/>
  <c r="V6" i="451"/>
  <c r="U6" i="451"/>
  <c r="T6" i="451"/>
  <c r="S6" i="451"/>
  <c r="R6" i="451"/>
  <c r="Q6" i="451"/>
  <c r="P6" i="451"/>
  <c r="B9" i="451" s="1"/>
  <c r="F6" i="451"/>
  <c r="B6" i="451"/>
  <c r="P5" i="451"/>
  <c r="F5" i="451"/>
  <c r="B5" i="451"/>
  <c r="F4" i="451"/>
  <c r="B4" i="451"/>
  <c r="P3" i="451"/>
  <c r="F3" i="451"/>
  <c r="B3" i="451"/>
  <c r="P2" i="451"/>
  <c r="F2" i="451"/>
  <c r="B2" i="451"/>
  <c r="AQ1" i="451"/>
  <c r="AO1" i="451"/>
  <c r="B1" i="451"/>
  <c r="A1" i="451"/>
  <c r="AG114" i="450"/>
  <c r="AG112" i="450"/>
  <c r="AF112" i="450"/>
  <c r="AE112" i="450"/>
  <c r="AD112" i="450"/>
  <c r="AC112" i="450"/>
  <c r="AB112" i="450"/>
  <c r="AA112" i="450"/>
  <c r="Z112" i="450"/>
  <c r="Y112" i="450"/>
  <c r="X112" i="450"/>
  <c r="W112" i="450"/>
  <c r="V112" i="450"/>
  <c r="U112" i="450"/>
  <c r="T112" i="450"/>
  <c r="S112" i="450"/>
  <c r="R112" i="450"/>
  <c r="Q112" i="450"/>
  <c r="P112" i="450"/>
  <c r="O112" i="450"/>
  <c r="N112" i="450"/>
  <c r="M112" i="450"/>
  <c r="L112" i="450"/>
  <c r="K112" i="450"/>
  <c r="J112" i="450"/>
  <c r="I112" i="450"/>
  <c r="H112" i="450"/>
  <c r="G112" i="450"/>
  <c r="F112" i="450"/>
  <c r="E112" i="450"/>
  <c r="D112" i="450"/>
  <c r="C112" i="450"/>
  <c r="B112" i="450"/>
  <c r="AI112" i="450" s="1"/>
  <c r="AI111" i="450"/>
  <c r="AI110" i="450"/>
  <c r="AI109" i="450"/>
  <c r="AI108" i="450"/>
  <c r="AI107" i="450"/>
  <c r="AI106" i="450"/>
  <c r="AI105" i="450"/>
  <c r="AI104" i="450"/>
  <c r="AI103" i="450"/>
  <c r="AI102" i="450"/>
  <c r="AI101" i="450"/>
  <c r="AI100" i="450"/>
  <c r="AI99" i="450"/>
  <c r="AI98" i="450"/>
  <c r="AI97" i="450"/>
  <c r="AI95" i="450"/>
  <c r="AG95" i="450"/>
  <c r="AI94" i="450"/>
  <c r="AG94" i="450"/>
  <c r="AI93" i="450"/>
  <c r="AG93" i="450"/>
  <c r="AI92" i="450"/>
  <c r="AG92" i="450"/>
  <c r="AI91" i="450"/>
  <c r="AG91" i="450"/>
  <c r="AI90" i="450"/>
  <c r="AG90" i="450"/>
  <c r="AI89" i="450"/>
  <c r="AG89" i="450"/>
  <c r="AI88" i="450"/>
  <c r="AG88" i="450"/>
  <c r="AI87" i="450"/>
  <c r="AG87" i="450"/>
  <c r="AI86" i="450"/>
  <c r="AG86" i="450"/>
  <c r="AI84" i="450"/>
  <c r="AG84" i="450"/>
  <c r="AG82" i="450"/>
  <c r="AG81" i="450"/>
  <c r="AG80" i="450"/>
  <c r="AG79" i="450"/>
  <c r="AG77" i="450"/>
  <c r="AG76" i="450"/>
  <c r="AG75" i="450"/>
  <c r="AG73" i="450"/>
  <c r="AG72" i="450"/>
  <c r="AI71" i="450"/>
  <c r="AG71" i="450"/>
  <c r="AG70" i="450"/>
  <c r="AG69" i="450"/>
  <c r="AI67" i="450"/>
  <c r="AI61" i="450"/>
  <c r="AG61" i="450"/>
  <c r="AG60" i="450"/>
  <c r="AE60" i="450"/>
  <c r="Z60" i="450"/>
  <c r="O60" i="450"/>
  <c r="J60" i="450"/>
  <c r="AG56" i="450"/>
  <c r="AG55" i="450"/>
  <c r="AG54" i="450"/>
  <c r="AG53" i="450"/>
  <c r="AG52" i="450"/>
  <c r="AG51" i="450"/>
  <c r="AG49" i="450"/>
  <c r="AG48" i="450"/>
  <c r="AG47" i="450"/>
  <c r="AF47" i="450"/>
  <c r="AF48" i="450" s="1"/>
  <c r="AE47" i="450"/>
  <c r="AE48" i="450" s="1"/>
  <c r="AB47" i="450"/>
  <c r="AB48" i="450" s="1"/>
  <c r="AA47" i="450"/>
  <c r="AA48" i="450" s="1"/>
  <c r="X47" i="450"/>
  <c r="X48" i="450" s="1"/>
  <c r="W47" i="450"/>
  <c r="W48" i="450" s="1"/>
  <c r="T47" i="450"/>
  <c r="T48" i="450" s="1"/>
  <c r="S47" i="450"/>
  <c r="S48" i="450" s="1"/>
  <c r="P47" i="450"/>
  <c r="P48" i="450" s="1"/>
  <c r="O47" i="450"/>
  <c r="O48" i="450" s="1"/>
  <c r="L47" i="450"/>
  <c r="L48" i="450" s="1"/>
  <c r="K47" i="450"/>
  <c r="K48" i="450" s="1"/>
  <c r="H47" i="450"/>
  <c r="H48" i="450" s="1"/>
  <c r="G47" i="450"/>
  <c r="G48" i="450" s="1"/>
  <c r="D47" i="450"/>
  <c r="D48" i="450" s="1"/>
  <c r="C47" i="450"/>
  <c r="C48" i="450" s="1"/>
  <c r="AG45" i="450"/>
  <c r="AF45" i="450"/>
  <c r="AF60" i="450" s="1"/>
  <c r="AE45" i="450"/>
  <c r="AD45" i="450"/>
  <c r="AD60" i="450" s="1"/>
  <c r="AC45" i="450"/>
  <c r="AC60" i="450" s="1"/>
  <c r="AB45" i="450"/>
  <c r="AB60" i="450" s="1"/>
  <c r="AA45" i="450"/>
  <c r="AA60" i="450" s="1"/>
  <c r="Z45" i="450"/>
  <c r="Y45" i="450"/>
  <c r="Y60" i="450" s="1"/>
  <c r="X45" i="450"/>
  <c r="X60" i="450" s="1"/>
  <c r="W45" i="450"/>
  <c r="W60" i="450" s="1"/>
  <c r="V45" i="450"/>
  <c r="U45" i="450"/>
  <c r="U60" i="450" s="1"/>
  <c r="T45" i="450"/>
  <c r="T60" i="450" s="1"/>
  <c r="S45" i="450"/>
  <c r="S60" i="450" s="1"/>
  <c r="R45" i="450"/>
  <c r="R60" i="450" s="1"/>
  <c r="Q45" i="450"/>
  <c r="Q60" i="450" s="1"/>
  <c r="P45" i="450"/>
  <c r="P60" i="450" s="1"/>
  <c r="O45" i="450"/>
  <c r="N45" i="450"/>
  <c r="N60" i="450" s="1"/>
  <c r="M45" i="450"/>
  <c r="M60" i="450" s="1"/>
  <c r="L45" i="450"/>
  <c r="L60" i="450" s="1"/>
  <c r="K45" i="450"/>
  <c r="K60" i="450" s="1"/>
  <c r="J45" i="450"/>
  <c r="I45" i="450"/>
  <c r="I60" i="450" s="1"/>
  <c r="H45" i="450"/>
  <c r="H60" i="450" s="1"/>
  <c r="G45" i="450"/>
  <c r="G60" i="450" s="1"/>
  <c r="F45" i="450"/>
  <c r="E45" i="450"/>
  <c r="E60" i="450" s="1"/>
  <c r="D45" i="450"/>
  <c r="D60" i="450" s="1"/>
  <c r="C45" i="450"/>
  <c r="C60" i="450" s="1"/>
  <c r="B45" i="450"/>
  <c r="B60" i="450" s="1"/>
  <c r="AG44" i="450"/>
  <c r="AG43" i="450"/>
  <c r="AG42" i="450"/>
  <c r="AG41" i="450"/>
  <c r="AG40" i="450"/>
  <c r="AG39" i="450"/>
  <c r="AG38" i="450"/>
  <c r="AG37" i="450"/>
  <c r="AG36" i="450"/>
  <c r="AG35" i="450"/>
  <c r="AG32" i="450"/>
  <c r="AF32" i="450"/>
  <c r="AE32" i="450"/>
  <c r="AD32" i="450"/>
  <c r="AC32" i="450"/>
  <c r="AB32" i="450"/>
  <c r="AA32" i="450"/>
  <c r="Z32" i="450"/>
  <c r="Y32" i="450"/>
  <c r="X32" i="450"/>
  <c r="W32" i="450"/>
  <c r="V32" i="450"/>
  <c r="U32" i="450"/>
  <c r="T32" i="450"/>
  <c r="S32" i="450"/>
  <c r="R32" i="450"/>
  <c r="Q32" i="450"/>
  <c r="P32" i="450"/>
  <c r="O32" i="450"/>
  <c r="N32" i="450"/>
  <c r="M32" i="450"/>
  <c r="L32" i="450"/>
  <c r="K32" i="450"/>
  <c r="J32" i="450"/>
  <c r="I32" i="450"/>
  <c r="H32" i="450"/>
  <c r="G32" i="450"/>
  <c r="F32" i="450"/>
  <c r="E32" i="450"/>
  <c r="D32" i="450"/>
  <c r="C32" i="450"/>
  <c r="B32" i="450"/>
  <c r="AI32" i="450" s="1"/>
  <c r="AG30" i="450"/>
  <c r="AG29" i="450"/>
  <c r="AG28" i="450"/>
  <c r="AG27" i="450"/>
  <c r="AG26" i="450"/>
  <c r="AG25" i="450"/>
  <c r="AG23" i="450"/>
  <c r="AF23" i="450"/>
  <c r="AF114" i="450" s="1"/>
  <c r="AE23" i="450"/>
  <c r="AE114" i="450" s="1"/>
  <c r="AD23" i="450"/>
  <c r="AD114" i="450" s="1"/>
  <c r="AC23" i="450"/>
  <c r="AC114" i="450" s="1"/>
  <c r="AB23" i="450"/>
  <c r="AB114" i="450" s="1"/>
  <c r="AA23" i="450"/>
  <c r="AA114" i="450" s="1"/>
  <c r="Z23" i="450"/>
  <c r="Z114" i="450" s="1"/>
  <c r="Y23" i="450"/>
  <c r="Y114" i="450" s="1"/>
  <c r="X23" i="450"/>
  <c r="X114" i="450" s="1"/>
  <c r="W23" i="450"/>
  <c r="W114" i="450" s="1"/>
  <c r="V23" i="450"/>
  <c r="V114" i="450" s="1"/>
  <c r="U23" i="450"/>
  <c r="U114" i="450" s="1"/>
  <c r="T23" i="450"/>
  <c r="T114" i="450" s="1"/>
  <c r="S23" i="450"/>
  <c r="S114" i="450" s="1"/>
  <c r="R23" i="450"/>
  <c r="R114" i="450" s="1"/>
  <c r="Q23" i="450"/>
  <c r="Q114" i="450" s="1"/>
  <c r="P23" i="450"/>
  <c r="P114" i="450" s="1"/>
  <c r="O23" i="450"/>
  <c r="O114" i="450" s="1"/>
  <c r="N23" i="450"/>
  <c r="N114" i="450" s="1"/>
  <c r="M23" i="450"/>
  <c r="M114" i="450" s="1"/>
  <c r="L23" i="450"/>
  <c r="L114" i="450" s="1"/>
  <c r="K23" i="450"/>
  <c r="K114" i="450" s="1"/>
  <c r="J23" i="450"/>
  <c r="J114" i="450" s="1"/>
  <c r="I23" i="450"/>
  <c r="I114" i="450" s="1"/>
  <c r="H23" i="450"/>
  <c r="H114" i="450" s="1"/>
  <c r="G23" i="450"/>
  <c r="G114" i="450" s="1"/>
  <c r="F23" i="450"/>
  <c r="F114" i="450" s="1"/>
  <c r="E23" i="450"/>
  <c r="E114" i="450" s="1"/>
  <c r="D23" i="450"/>
  <c r="D114" i="450" s="1"/>
  <c r="C23" i="450"/>
  <c r="C114" i="450" s="1"/>
  <c r="B23" i="450"/>
  <c r="B114" i="450" s="1"/>
  <c r="AG22" i="450"/>
  <c r="AG21" i="450"/>
  <c r="AG20" i="450"/>
  <c r="AG19" i="450"/>
  <c r="AG18" i="450"/>
  <c r="AG17" i="450"/>
  <c r="AG16" i="450"/>
  <c r="AG15" i="450"/>
  <c r="AG14" i="450"/>
  <c r="AG13" i="450"/>
  <c r="B12" i="450"/>
  <c r="AO10" i="450"/>
  <c r="AH10" i="450"/>
  <c r="AG10" i="450"/>
  <c r="C10" i="450"/>
  <c r="F7" i="450"/>
  <c r="B7" i="450"/>
  <c r="V6" i="450"/>
  <c r="U6" i="450"/>
  <c r="T6" i="450"/>
  <c r="B9" i="450" s="1"/>
  <c r="S6" i="450"/>
  <c r="R6" i="450"/>
  <c r="Q6" i="450"/>
  <c r="P6" i="450"/>
  <c r="F6" i="450"/>
  <c r="B6" i="450"/>
  <c r="P5" i="450"/>
  <c r="F5" i="450"/>
  <c r="B5" i="450"/>
  <c r="F4" i="450"/>
  <c r="B4" i="450"/>
  <c r="P3" i="450"/>
  <c r="F3" i="450"/>
  <c r="B3" i="450"/>
  <c r="P2" i="450"/>
  <c r="F2" i="450"/>
  <c r="B2" i="450"/>
  <c r="AQ1" i="450"/>
  <c r="AO1" i="450"/>
  <c r="B1" i="450"/>
  <c r="A1" i="450"/>
  <c r="AF114" i="449"/>
  <c r="AF112" i="449"/>
  <c r="AE112" i="449"/>
  <c r="AD112" i="449"/>
  <c r="AC112" i="449"/>
  <c r="AB112" i="449"/>
  <c r="AA112" i="449"/>
  <c r="Z112" i="449"/>
  <c r="Y112" i="449"/>
  <c r="X112" i="449"/>
  <c r="W112" i="449"/>
  <c r="V112" i="449"/>
  <c r="U112" i="449"/>
  <c r="T112" i="449"/>
  <c r="S112" i="449"/>
  <c r="R112" i="449"/>
  <c r="Q112" i="449"/>
  <c r="P112" i="449"/>
  <c r="O112" i="449"/>
  <c r="N112" i="449"/>
  <c r="M112" i="449"/>
  <c r="L112" i="449"/>
  <c r="K112" i="449"/>
  <c r="J112" i="449"/>
  <c r="I112" i="449"/>
  <c r="H112" i="449"/>
  <c r="G112" i="449"/>
  <c r="F112" i="449"/>
  <c r="E112" i="449"/>
  <c r="D112" i="449"/>
  <c r="C112" i="449"/>
  <c r="AH112" i="449" s="1"/>
  <c r="B112" i="449"/>
  <c r="AH111" i="449"/>
  <c r="AH110" i="449"/>
  <c r="AH109" i="449"/>
  <c r="AH108" i="449"/>
  <c r="AH107" i="449"/>
  <c r="AH106" i="449"/>
  <c r="AH105" i="449"/>
  <c r="AH104" i="449"/>
  <c r="AH103" i="449"/>
  <c r="AH102" i="449"/>
  <c r="AH101" i="449"/>
  <c r="AH100" i="449"/>
  <c r="AH99" i="449"/>
  <c r="AH98" i="449"/>
  <c r="AH97" i="449"/>
  <c r="AH95" i="449"/>
  <c r="AF95" i="449"/>
  <c r="AH94" i="449"/>
  <c r="AF94" i="449"/>
  <c r="AH93" i="449"/>
  <c r="AF93" i="449"/>
  <c r="AH92" i="449"/>
  <c r="AF92" i="449"/>
  <c r="AH91" i="449"/>
  <c r="AF91" i="449"/>
  <c r="AH90" i="449"/>
  <c r="AF90" i="449"/>
  <c r="AH89" i="449"/>
  <c r="AF89" i="449"/>
  <c r="AH88" i="449"/>
  <c r="AF88" i="449"/>
  <c r="AH87" i="449"/>
  <c r="AF87" i="449"/>
  <c r="AH86" i="449"/>
  <c r="AF86" i="449"/>
  <c r="AH84" i="449"/>
  <c r="AF82" i="449"/>
  <c r="AF81" i="449"/>
  <c r="AF80" i="449"/>
  <c r="AF79" i="449"/>
  <c r="AF77" i="449"/>
  <c r="AF76" i="449"/>
  <c r="AF75" i="449"/>
  <c r="AF73" i="449"/>
  <c r="AF72" i="449"/>
  <c r="AH71" i="449"/>
  <c r="AF71" i="449"/>
  <c r="AF70" i="449"/>
  <c r="AF69" i="449"/>
  <c r="AH67" i="449"/>
  <c r="AH61" i="449"/>
  <c r="AF61" i="449"/>
  <c r="AF60" i="449"/>
  <c r="AE60" i="449"/>
  <c r="AA60" i="449"/>
  <c r="Z60" i="449"/>
  <c r="W60" i="449"/>
  <c r="V60" i="449"/>
  <c r="U60" i="449"/>
  <c r="S60" i="449"/>
  <c r="O60" i="449"/>
  <c r="K60" i="449"/>
  <c r="J60" i="449"/>
  <c r="G60" i="449"/>
  <c r="F60" i="449"/>
  <c r="E60" i="449"/>
  <c r="C60" i="449"/>
  <c r="AF56" i="449"/>
  <c r="AF55" i="449"/>
  <c r="AF54" i="449"/>
  <c r="AF53" i="449"/>
  <c r="AF52" i="449"/>
  <c r="AF51" i="449"/>
  <c r="AF49" i="449"/>
  <c r="AF48" i="449"/>
  <c r="AA48" i="449"/>
  <c r="W48" i="449"/>
  <c r="V48" i="449"/>
  <c r="K48" i="449"/>
  <c r="G48" i="449"/>
  <c r="F48" i="449"/>
  <c r="AF47" i="449"/>
  <c r="AD47" i="449"/>
  <c r="Z47" i="449"/>
  <c r="V47" i="449"/>
  <c r="U47" i="449"/>
  <c r="N47" i="449"/>
  <c r="J47" i="449"/>
  <c r="F47" i="449"/>
  <c r="E47" i="449"/>
  <c r="AF45" i="449"/>
  <c r="AE45" i="449"/>
  <c r="AE47" i="449" s="1"/>
  <c r="AE48" i="449" s="1"/>
  <c r="AD45" i="449"/>
  <c r="AD60" i="449" s="1"/>
  <c r="AC45" i="449"/>
  <c r="AB45" i="449"/>
  <c r="AA45" i="449"/>
  <c r="AA47" i="449" s="1"/>
  <c r="Z45" i="449"/>
  <c r="Y45" i="449"/>
  <c r="Y60" i="449" s="1"/>
  <c r="X45" i="449"/>
  <c r="X47" i="449" s="1"/>
  <c r="W45" i="449"/>
  <c r="W47" i="449" s="1"/>
  <c r="V45" i="449"/>
  <c r="U45" i="449"/>
  <c r="U48" i="449" s="1"/>
  <c r="T45" i="449"/>
  <c r="T47" i="449" s="1"/>
  <c r="S45" i="449"/>
  <c r="S47" i="449" s="1"/>
  <c r="R45" i="449"/>
  <c r="R60" i="449" s="1"/>
  <c r="Q45" i="449"/>
  <c r="Q60" i="449" s="1"/>
  <c r="P45" i="449"/>
  <c r="O45" i="449"/>
  <c r="O47" i="449" s="1"/>
  <c r="O48" i="449" s="1"/>
  <c r="N45" i="449"/>
  <c r="N60" i="449" s="1"/>
  <c r="M45" i="449"/>
  <c r="L45" i="449"/>
  <c r="K45" i="449"/>
  <c r="K47" i="449" s="1"/>
  <c r="J45" i="449"/>
  <c r="J48" i="449" s="1"/>
  <c r="I45" i="449"/>
  <c r="I60" i="449" s="1"/>
  <c r="H45" i="449"/>
  <c r="H47" i="449" s="1"/>
  <c r="G45" i="449"/>
  <c r="G47" i="449" s="1"/>
  <c r="F45" i="449"/>
  <c r="E45" i="449"/>
  <c r="E48" i="449" s="1"/>
  <c r="D45" i="449"/>
  <c r="D47" i="449" s="1"/>
  <c r="C45" i="449"/>
  <c r="C47" i="449" s="1"/>
  <c r="B45" i="449"/>
  <c r="B60" i="449" s="1"/>
  <c r="AF44" i="449"/>
  <c r="AF43" i="449"/>
  <c r="AF42" i="449"/>
  <c r="AF41" i="449"/>
  <c r="AF40" i="449"/>
  <c r="AF39" i="449"/>
  <c r="AF38" i="449"/>
  <c r="AF37" i="449"/>
  <c r="AF36" i="449"/>
  <c r="AF35" i="449"/>
  <c r="AF32" i="449"/>
  <c r="AE32" i="449"/>
  <c r="AD32" i="449"/>
  <c r="AC32" i="449"/>
  <c r="AB32" i="449"/>
  <c r="AA32" i="449"/>
  <c r="Z32" i="449"/>
  <c r="Y32" i="449"/>
  <c r="X32" i="449"/>
  <c r="W32" i="449"/>
  <c r="V32" i="449"/>
  <c r="U32" i="449"/>
  <c r="T32" i="449"/>
  <c r="S32" i="449"/>
  <c r="R32" i="449"/>
  <c r="Q32" i="449"/>
  <c r="P32" i="449"/>
  <c r="O32" i="449"/>
  <c r="N32" i="449"/>
  <c r="M32" i="449"/>
  <c r="L32" i="449"/>
  <c r="K32" i="449"/>
  <c r="J32" i="449"/>
  <c r="I32" i="449"/>
  <c r="H32" i="449"/>
  <c r="G32" i="449"/>
  <c r="F32" i="449"/>
  <c r="E32" i="449"/>
  <c r="D32" i="449"/>
  <c r="C32" i="449"/>
  <c r="B32" i="449"/>
  <c r="AH32" i="449" s="1"/>
  <c r="AF30" i="449"/>
  <c r="AF29" i="449"/>
  <c r="AF28" i="449"/>
  <c r="AF27" i="449"/>
  <c r="AF26" i="449"/>
  <c r="AF25" i="449"/>
  <c r="AF23" i="449"/>
  <c r="AE23" i="449"/>
  <c r="AE114" i="449" s="1"/>
  <c r="AD23" i="449"/>
  <c r="AD114" i="449" s="1"/>
  <c r="AC23" i="449"/>
  <c r="AC114" i="449" s="1"/>
  <c r="AB23" i="449"/>
  <c r="AA23" i="449"/>
  <c r="AA114" i="449" s="1"/>
  <c r="Z23" i="449"/>
  <c r="Z114" i="449" s="1"/>
  <c r="Y23" i="449"/>
  <c r="Y114" i="449" s="1"/>
  <c r="X23" i="449"/>
  <c r="W23" i="449"/>
  <c r="W114" i="449" s="1"/>
  <c r="V23" i="449"/>
  <c r="V114" i="449" s="1"/>
  <c r="U23" i="449"/>
  <c r="U114" i="449" s="1"/>
  <c r="T23" i="449"/>
  <c r="S23" i="449"/>
  <c r="S114" i="449" s="1"/>
  <c r="R23" i="449"/>
  <c r="R114" i="449" s="1"/>
  <c r="Q23" i="449"/>
  <c r="Q114" i="449" s="1"/>
  <c r="P23" i="449"/>
  <c r="O23" i="449"/>
  <c r="O114" i="449" s="1"/>
  <c r="N23" i="449"/>
  <c r="N114" i="449" s="1"/>
  <c r="M23" i="449"/>
  <c r="M114" i="449" s="1"/>
  <c r="L23" i="449"/>
  <c r="K23" i="449"/>
  <c r="K114" i="449" s="1"/>
  <c r="J23" i="449"/>
  <c r="J114" i="449" s="1"/>
  <c r="I23" i="449"/>
  <c r="I114" i="449" s="1"/>
  <c r="H23" i="449"/>
  <c r="G23" i="449"/>
  <c r="G114" i="449" s="1"/>
  <c r="F23" i="449"/>
  <c r="F114" i="449" s="1"/>
  <c r="E23" i="449"/>
  <c r="E114" i="449" s="1"/>
  <c r="D23" i="449"/>
  <c r="C23" i="449"/>
  <c r="C114" i="449" s="1"/>
  <c r="B23" i="449"/>
  <c r="B114" i="449" s="1"/>
  <c r="AF22" i="449"/>
  <c r="AF21" i="449"/>
  <c r="AF20" i="449"/>
  <c r="AF19" i="449"/>
  <c r="AF18" i="449"/>
  <c r="AF17" i="449"/>
  <c r="AF16" i="449"/>
  <c r="AF15" i="449"/>
  <c r="AF14" i="449"/>
  <c r="AF13" i="449"/>
  <c r="B12" i="449"/>
  <c r="AN10" i="449"/>
  <c r="AG10" i="449"/>
  <c r="AF10" i="449"/>
  <c r="D10" i="449"/>
  <c r="D12" i="449" s="1"/>
  <c r="C10" i="449"/>
  <c r="C9" i="449"/>
  <c r="F7" i="449"/>
  <c r="B7" i="449"/>
  <c r="V6" i="449"/>
  <c r="U6" i="449"/>
  <c r="T6" i="449"/>
  <c r="D9" i="449" s="1"/>
  <c r="S6" i="449"/>
  <c r="R6" i="449"/>
  <c r="B9" i="449" s="1"/>
  <c r="Q6" i="449"/>
  <c r="P6" i="449"/>
  <c r="F6" i="449"/>
  <c r="B6" i="449"/>
  <c r="P5" i="449"/>
  <c r="F5" i="449"/>
  <c r="B5" i="449"/>
  <c r="F4" i="449"/>
  <c r="B4" i="449"/>
  <c r="P3" i="449"/>
  <c r="F3" i="449"/>
  <c r="B3" i="449"/>
  <c r="P2" i="449"/>
  <c r="F2" i="449"/>
  <c r="B2" i="449"/>
  <c r="AP1" i="449"/>
  <c r="AN1" i="449"/>
  <c r="B1" i="449"/>
  <c r="A1" i="449"/>
  <c r="AG114" i="448"/>
  <c r="AG112" i="448"/>
  <c r="AF112" i="448"/>
  <c r="AE112" i="448"/>
  <c r="AD112" i="448"/>
  <c r="AC112" i="448"/>
  <c r="AB112" i="448"/>
  <c r="AA112" i="448"/>
  <c r="Z112" i="448"/>
  <c r="Y112" i="448"/>
  <c r="X112" i="448"/>
  <c r="W112" i="448"/>
  <c r="V112" i="448"/>
  <c r="U112" i="448"/>
  <c r="T112" i="448"/>
  <c r="S112" i="448"/>
  <c r="R112" i="448"/>
  <c r="Q112" i="448"/>
  <c r="P112" i="448"/>
  <c r="O112" i="448"/>
  <c r="N112" i="448"/>
  <c r="M112" i="448"/>
  <c r="L112" i="448"/>
  <c r="K112" i="448"/>
  <c r="J112" i="448"/>
  <c r="I112" i="448"/>
  <c r="H112" i="448"/>
  <c r="G112" i="448"/>
  <c r="F112" i="448"/>
  <c r="E112" i="448"/>
  <c r="D112" i="448"/>
  <c r="C112" i="448"/>
  <c r="B112" i="448"/>
  <c r="AI112" i="448" s="1"/>
  <c r="AI111" i="448"/>
  <c r="AI110" i="448"/>
  <c r="AI109" i="448"/>
  <c r="AI108" i="448"/>
  <c r="AI107" i="448"/>
  <c r="AI106" i="448"/>
  <c r="AI105" i="448"/>
  <c r="AI104" i="448"/>
  <c r="AI103" i="448"/>
  <c r="AI102" i="448"/>
  <c r="AI101" i="448"/>
  <c r="AI100" i="448"/>
  <c r="AI99" i="448"/>
  <c r="AI98" i="448"/>
  <c r="AI97" i="448"/>
  <c r="AI95" i="448"/>
  <c r="AG95" i="448"/>
  <c r="AI94" i="448"/>
  <c r="AG94" i="448"/>
  <c r="AI93" i="448"/>
  <c r="AG93" i="448"/>
  <c r="AI92" i="448"/>
  <c r="AG92" i="448"/>
  <c r="AI91" i="448"/>
  <c r="AG91" i="448"/>
  <c r="AI90" i="448"/>
  <c r="AG90" i="448"/>
  <c r="AI89" i="448"/>
  <c r="AG89" i="448"/>
  <c r="AI88" i="448"/>
  <c r="AG88" i="448"/>
  <c r="AI87" i="448"/>
  <c r="AG87" i="448"/>
  <c r="AI86" i="448"/>
  <c r="AG86" i="448"/>
  <c r="AI84" i="448"/>
  <c r="AG84" i="448"/>
  <c r="AG82" i="448"/>
  <c r="AG81" i="448"/>
  <c r="AG80" i="448"/>
  <c r="AG79" i="448"/>
  <c r="AG77" i="448"/>
  <c r="AG76" i="448"/>
  <c r="AG75" i="448"/>
  <c r="AG73" i="448"/>
  <c r="AG72" i="448"/>
  <c r="AI71" i="448"/>
  <c r="AG71" i="448"/>
  <c r="AG70" i="448"/>
  <c r="AG69" i="448"/>
  <c r="AI67" i="448"/>
  <c r="AI61" i="448"/>
  <c r="AG61" i="448"/>
  <c r="AG60" i="448"/>
  <c r="AG56" i="448"/>
  <c r="AG55" i="448"/>
  <c r="AG54" i="448"/>
  <c r="AG53" i="448"/>
  <c r="AG52" i="448"/>
  <c r="AG51" i="448"/>
  <c r="AG49" i="448"/>
  <c r="AG48" i="448"/>
  <c r="Y48" i="448"/>
  <c r="I48" i="448"/>
  <c r="AG47" i="448"/>
  <c r="AF47" i="448"/>
  <c r="AF48" i="448" s="1"/>
  <c r="AE47" i="448"/>
  <c r="AC47" i="448"/>
  <c r="AC48" i="448" s="1"/>
  <c r="AB47" i="448"/>
  <c r="AB48" i="448" s="1"/>
  <c r="Y47" i="448"/>
  <c r="X47" i="448"/>
  <c r="X48" i="448" s="1"/>
  <c r="U47" i="448"/>
  <c r="T47" i="448"/>
  <c r="T48" i="448" s="1"/>
  <c r="Q47" i="448"/>
  <c r="P47" i="448"/>
  <c r="P48" i="448" s="1"/>
  <c r="M47" i="448"/>
  <c r="M48" i="448" s="1"/>
  <c r="L47" i="448"/>
  <c r="L48" i="448" s="1"/>
  <c r="I47" i="448"/>
  <c r="H47" i="448"/>
  <c r="H48" i="448" s="1"/>
  <c r="E47" i="448"/>
  <c r="D47" i="448"/>
  <c r="D48" i="448" s="1"/>
  <c r="AG45" i="448"/>
  <c r="AF45" i="448"/>
  <c r="AF60" i="448" s="1"/>
  <c r="AE45" i="448"/>
  <c r="AE60" i="448" s="1"/>
  <c r="AD45" i="448"/>
  <c r="AC45" i="448"/>
  <c r="AC60" i="448" s="1"/>
  <c r="AB45" i="448"/>
  <c r="AB60" i="448" s="1"/>
  <c r="AA45" i="448"/>
  <c r="AA60" i="448" s="1"/>
  <c r="Z45" i="448"/>
  <c r="Y45" i="448"/>
  <c r="Y60" i="448" s="1"/>
  <c r="X45" i="448"/>
  <c r="X60" i="448" s="1"/>
  <c r="W45" i="448"/>
  <c r="W60" i="448" s="1"/>
  <c r="V45" i="448"/>
  <c r="U45" i="448"/>
  <c r="U60" i="448" s="1"/>
  <c r="T45" i="448"/>
  <c r="T60" i="448" s="1"/>
  <c r="S45" i="448"/>
  <c r="S60" i="448" s="1"/>
  <c r="R45" i="448"/>
  <c r="Q45" i="448"/>
  <c r="Q60" i="448" s="1"/>
  <c r="P45" i="448"/>
  <c r="P60" i="448" s="1"/>
  <c r="O45" i="448"/>
  <c r="O60" i="448" s="1"/>
  <c r="N45" i="448"/>
  <c r="M45" i="448"/>
  <c r="M60" i="448" s="1"/>
  <c r="L45" i="448"/>
  <c r="L60" i="448" s="1"/>
  <c r="K45" i="448"/>
  <c r="K60" i="448" s="1"/>
  <c r="J45" i="448"/>
  <c r="I45" i="448"/>
  <c r="I60" i="448" s="1"/>
  <c r="H45" i="448"/>
  <c r="H60" i="448" s="1"/>
  <c r="G45" i="448"/>
  <c r="G60" i="448" s="1"/>
  <c r="F45" i="448"/>
  <c r="E45" i="448"/>
  <c r="E60" i="448" s="1"/>
  <c r="D45" i="448"/>
  <c r="D60" i="448" s="1"/>
  <c r="C45" i="448"/>
  <c r="C60" i="448" s="1"/>
  <c r="B45" i="448"/>
  <c r="AG44" i="448"/>
  <c r="AG43" i="448"/>
  <c r="AG42" i="448"/>
  <c r="AG41" i="448"/>
  <c r="AG40" i="448"/>
  <c r="AG39" i="448"/>
  <c r="AG38" i="448"/>
  <c r="AG37" i="448"/>
  <c r="AG36" i="448"/>
  <c r="AG35" i="448"/>
  <c r="AG32" i="448"/>
  <c r="AF32" i="448"/>
  <c r="AE32" i="448"/>
  <c r="AD32" i="448"/>
  <c r="AC32" i="448"/>
  <c r="AB32" i="448"/>
  <c r="AA32" i="448"/>
  <c r="Z32" i="448"/>
  <c r="Y32" i="448"/>
  <c r="X32" i="448"/>
  <c r="W32" i="448"/>
  <c r="V32" i="448"/>
  <c r="U32" i="448"/>
  <c r="T32" i="448"/>
  <c r="S32" i="448"/>
  <c r="R32" i="448"/>
  <c r="Q32" i="448"/>
  <c r="P32" i="448"/>
  <c r="O32" i="448"/>
  <c r="N32" i="448"/>
  <c r="M32" i="448"/>
  <c r="L32" i="448"/>
  <c r="K32" i="448"/>
  <c r="J32" i="448"/>
  <c r="I32" i="448"/>
  <c r="H32" i="448"/>
  <c r="G32" i="448"/>
  <c r="F32" i="448"/>
  <c r="E32" i="448"/>
  <c r="D32" i="448"/>
  <c r="C32" i="448"/>
  <c r="B32" i="448"/>
  <c r="AI32" i="448" s="1"/>
  <c r="AG30" i="448"/>
  <c r="AG29" i="448"/>
  <c r="AG28" i="448"/>
  <c r="AG27" i="448"/>
  <c r="AG26" i="448"/>
  <c r="AG25" i="448"/>
  <c r="AG23" i="448"/>
  <c r="AF23" i="448"/>
  <c r="AE23" i="448"/>
  <c r="AE114" i="448" s="1"/>
  <c r="AD23" i="448"/>
  <c r="AC23" i="448"/>
  <c r="AB23" i="448"/>
  <c r="AB114" i="448" s="1"/>
  <c r="AA23" i="448"/>
  <c r="AA114" i="448" s="1"/>
  <c r="Z23" i="448"/>
  <c r="Y23" i="448"/>
  <c r="X23" i="448"/>
  <c r="X114" i="448" s="1"/>
  <c r="W23" i="448"/>
  <c r="W114" i="448" s="1"/>
  <c r="V23" i="448"/>
  <c r="U23" i="448"/>
  <c r="T23" i="448"/>
  <c r="T114" i="448" s="1"/>
  <c r="S23" i="448"/>
  <c r="S114" i="448" s="1"/>
  <c r="R23" i="448"/>
  <c r="Q23" i="448"/>
  <c r="P23" i="448"/>
  <c r="P114" i="448" s="1"/>
  <c r="O23" i="448"/>
  <c r="O114" i="448" s="1"/>
  <c r="N23" i="448"/>
  <c r="M23" i="448"/>
  <c r="L23" i="448"/>
  <c r="L114" i="448" s="1"/>
  <c r="K23" i="448"/>
  <c r="K114" i="448" s="1"/>
  <c r="J23" i="448"/>
  <c r="I23" i="448"/>
  <c r="H23" i="448"/>
  <c r="H114" i="448" s="1"/>
  <c r="G23" i="448"/>
  <c r="G114" i="448" s="1"/>
  <c r="F23" i="448"/>
  <c r="E23" i="448"/>
  <c r="D23" i="448"/>
  <c r="D114" i="448" s="1"/>
  <c r="C23" i="448"/>
  <c r="C114" i="448" s="1"/>
  <c r="B23" i="448"/>
  <c r="AG22" i="448"/>
  <c r="AG21" i="448"/>
  <c r="AG20" i="448"/>
  <c r="AG19" i="448"/>
  <c r="AG18" i="448"/>
  <c r="AG17" i="448"/>
  <c r="AG16" i="448"/>
  <c r="AG15" i="448"/>
  <c r="AG14" i="448"/>
  <c r="AG13" i="448"/>
  <c r="B12" i="448"/>
  <c r="AO10" i="448"/>
  <c r="AH10" i="448"/>
  <c r="AG10" i="448"/>
  <c r="C10" i="448"/>
  <c r="F7" i="448"/>
  <c r="B7" i="448"/>
  <c r="V6" i="448"/>
  <c r="B9" i="448" s="1"/>
  <c r="U6" i="448"/>
  <c r="T6" i="448"/>
  <c r="S6" i="448"/>
  <c r="R6" i="448"/>
  <c r="Q6" i="448"/>
  <c r="P6" i="448"/>
  <c r="F6" i="448"/>
  <c r="B6" i="448"/>
  <c r="P5" i="448"/>
  <c r="F5" i="448"/>
  <c r="B5" i="448"/>
  <c r="F4" i="448"/>
  <c r="B4" i="448"/>
  <c r="P3" i="448"/>
  <c r="F3" i="448"/>
  <c r="B3" i="448"/>
  <c r="P2" i="448"/>
  <c r="F2" i="448"/>
  <c r="B2" i="448"/>
  <c r="AQ1" i="448"/>
  <c r="AO1" i="448"/>
  <c r="B1" i="448"/>
  <c r="A1" i="448"/>
  <c r="AF114" i="447"/>
  <c r="AD114" i="447"/>
  <c r="Z114" i="447"/>
  <c r="V114" i="447"/>
  <c r="R114" i="447"/>
  <c r="N114" i="447"/>
  <c r="J114" i="447"/>
  <c r="F114" i="447"/>
  <c r="B114" i="447"/>
  <c r="AF112" i="447"/>
  <c r="AE112" i="447"/>
  <c r="AD112" i="447"/>
  <c r="AC112" i="447"/>
  <c r="AB112" i="447"/>
  <c r="AA112" i="447"/>
  <c r="Z112" i="447"/>
  <c r="Y112" i="447"/>
  <c r="X112" i="447"/>
  <c r="W112" i="447"/>
  <c r="V112" i="447"/>
  <c r="U112" i="447"/>
  <c r="T112" i="447"/>
  <c r="S112" i="447"/>
  <c r="R112" i="447"/>
  <c r="Q112" i="447"/>
  <c r="P112" i="447"/>
  <c r="O112" i="447"/>
  <c r="N112" i="447"/>
  <c r="M112" i="447"/>
  <c r="L112" i="447"/>
  <c r="K112" i="447"/>
  <c r="J112" i="447"/>
  <c r="I112" i="447"/>
  <c r="H112" i="447"/>
  <c r="G112" i="447"/>
  <c r="F112" i="447"/>
  <c r="E112" i="447"/>
  <c r="D112" i="447"/>
  <c r="C112" i="447"/>
  <c r="B112" i="447"/>
  <c r="AH112" i="447" s="1"/>
  <c r="AH111" i="447"/>
  <c r="AH110" i="447"/>
  <c r="AH109" i="447"/>
  <c r="AH108" i="447"/>
  <c r="AH107" i="447"/>
  <c r="AH106" i="447"/>
  <c r="AH105" i="447"/>
  <c r="AH104" i="447"/>
  <c r="AH103" i="447"/>
  <c r="AH102" i="447"/>
  <c r="AH101" i="447"/>
  <c r="AH100" i="447"/>
  <c r="AH99" i="447"/>
  <c r="AH98" i="447"/>
  <c r="AH97" i="447"/>
  <c r="AH95" i="447"/>
  <c r="AF95" i="447"/>
  <c r="AH94" i="447"/>
  <c r="AF94" i="447"/>
  <c r="AH93" i="447"/>
  <c r="AF93" i="447"/>
  <c r="AH92" i="447"/>
  <c r="AF92" i="447"/>
  <c r="AH91" i="447"/>
  <c r="AF91" i="447"/>
  <c r="AH90" i="447"/>
  <c r="AF90" i="447"/>
  <c r="AH89" i="447"/>
  <c r="AF89" i="447"/>
  <c r="AH88" i="447"/>
  <c r="AF88" i="447"/>
  <c r="AH87" i="447"/>
  <c r="AF87" i="447"/>
  <c r="AH86" i="447"/>
  <c r="AF86" i="447"/>
  <c r="AH84" i="447"/>
  <c r="AF84" i="447"/>
  <c r="AF82" i="447"/>
  <c r="AF81" i="447"/>
  <c r="AF80" i="447"/>
  <c r="AF79" i="447"/>
  <c r="AF77" i="447"/>
  <c r="AF76" i="447"/>
  <c r="AF75" i="447"/>
  <c r="AF73" i="447"/>
  <c r="AF72" i="447"/>
  <c r="AH71" i="447"/>
  <c r="AF71" i="447"/>
  <c r="AF70" i="447"/>
  <c r="AF69" i="447"/>
  <c r="AH67" i="447"/>
  <c r="AH61" i="447"/>
  <c r="AF61" i="447"/>
  <c r="AF60" i="447"/>
  <c r="AD60" i="447"/>
  <c r="Z60" i="447"/>
  <c r="V60" i="447"/>
  <c r="R60" i="447"/>
  <c r="N60" i="447"/>
  <c r="J60" i="447"/>
  <c r="F60" i="447"/>
  <c r="B60" i="447"/>
  <c r="AF56" i="447"/>
  <c r="AF55" i="447"/>
  <c r="AF54" i="447"/>
  <c r="AF53" i="447"/>
  <c r="AF52" i="447"/>
  <c r="AF51" i="447"/>
  <c r="AF49" i="447"/>
  <c r="AF48" i="447"/>
  <c r="R48" i="447"/>
  <c r="AF47" i="447"/>
  <c r="AC47" i="447"/>
  <c r="U47" i="447"/>
  <c r="M47" i="447"/>
  <c r="E47" i="447"/>
  <c r="AF45" i="447"/>
  <c r="AE45" i="447"/>
  <c r="AE47" i="447" s="1"/>
  <c r="AD45" i="447"/>
  <c r="AD47" i="447" s="1"/>
  <c r="AD48" i="447" s="1"/>
  <c r="AC45" i="447"/>
  <c r="AB45" i="447"/>
  <c r="AB47" i="447" s="1"/>
  <c r="AA45" i="447"/>
  <c r="AA47" i="447" s="1"/>
  <c r="Z45" i="447"/>
  <c r="Z47" i="447" s="1"/>
  <c r="Y45" i="447"/>
  <c r="Y47" i="447" s="1"/>
  <c r="X45" i="447"/>
  <c r="X47" i="447" s="1"/>
  <c r="W45" i="447"/>
  <c r="W47" i="447" s="1"/>
  <c r="V45" i="447"/>
  <c r="V47" i="447" s="1"/>
  <c r="U45" i="447"/>
  <c r="T45" i="447"/>
  <c r="T47" i="447" s="1"/>
  <c r="S45" i="447"/>
  <c r="S47" i="447" s="1"/>
  <c r="R45" i="447"/>
  <c r="R47" i="447" s="1"/>
  <c r="Q45" i="447"/>
  <c r="P45" i="447"/>
  <c r="P47" i="447" s="1"/>
  <c r="O45" i="447"/>
  <c r="O47" i="447" s="1"/>
  <c r="N45" i="447"/>
  <c r="N47" i="447" s="1"/>
  <c r="N48" i="447" s="1"/>
  <c r="M45" i="447"/>
  <c r="L45" i="447"/>
  <c r="L47" i="447" s="1"/>
  <c r="K45" i="447"/>
  <c r="K47" i="447" s="1"/>
  <c r="J45" i="447"/>
  <c r="J47" i="447" s="1"/>
  <c r="I45" i="447"/>
  <c r="I47" i="447" s="1"/>
  <c r="H45" i="447"/>
  <c r="H47" i="447" s="1"/>
  <c r="G45" i="447"/>
  <c r="G47" i="447" s="1"/>
  <c r="F45" i="447"/>
  <c r="F47" i="447" s="1"/>
  <c r="E45" i="447"/>
  <c r="D45" i="447"/>
  <c r="D47" i="447" s="1"/>
  <c r="C45" i="447"/>
  <c r="C47" i="447" s="1"/>
  <c r="B45" i="447"/>
  <c r="B47" i="447" s="1"/>
  <c r="AF44" i="447"/>
  <c r="AF43" i="447"/>
  <c r="AF42" i="447"/>
  <c r="AF41" i="447"/>
  <c r="AF40" i="447"/>
  <c r="AF39" i="447"/>
  <c r="AF38" i="447"/>
  <c r="AF37" i="447"/>
  <c r="AF36" i="447"/>
  <c r="AF35" i="447"/>
  <c r="AF32" i="447"/>
  <c r="AE32" i="447"/>
  <c r="AD32" i="447"/>
  <c r="AC32" i="447"/>
  <c r="AB32" i="447"/>
  <c r="AA32" i="447"/>
  <c r="Z32" i="447"/>
  <c r="Y32" i="447"/>
  <c r="X32" i="447"/>
  <c r="W32" i="447"/>
  <c r="V32" i="447"/>
  <c r="U32" i="447"/>
  <c r="T32" i="447"/>
  <c r="S32" i="447"/>
  <c r="R32" i="447"/>
  <c r="Q32" i="447"/>
  <c r="P32" i="447"/>
  <c r="O32" i="447"/>
  <c r="N32" i="447"/>
  <c r="M32" i="447"/>
  <c r="L32" i="447"/>
  <c r="K32" i="447"/>
  <c r="J32" i="447"/>
  <c r="I32" i="447"/>
  <c r="H32" i="447"/>
  <c r="G32" i="447"/>
  <c r="F32" i="447"/>
  <c r="E32" i="447"/>
  <c r="D32" i="447"/>
  <c r="C32" i="447"/>
  <c r="B32" i="447"/>
  <c r="AF30" i="447"/>
  <c r="AF29" i="447"/>
  <c r="AF28" i="447"/>
  <c r="AF27" i="447"/>
  <c r="AF26" i="447"/>
  <c r="AF25" i="447"/>
  <c r="AF23" i="447"/>
  <c r="AE23" i="447"/>
  <c r="AE114" i="447" s="1"/>
  <c r="AD23" i="447"/>
  <c r="AC23" i="447"/>
  <c r="AB23" i="447"/>
  <c r="AB114" i="447" s="1"/>
  <c r="AA23" i="447"/>
  <c r="AA114" i="447" s="1"/>
  <c r="Z23" i="447"/>
  <c r="Y23" i="447"/>
  <c r="X23" i="447"/>
  <c r="X114" i="447" s="1"/>
  <c r="W23" i="447"/>
  <c r="W114" i="447" s="1"/>
  <c r="V23" i="447"/>
  <c r="U23" i="447"/>
  <c r="T23" i="447"/>
  <c r="T114" i="447" s="1"/>
  <c r="S23" i="447"/>
  <c r="S114" i="447" s="1"/>
  <c r="R23" i="447"/>
  <c r="Q23" i="447"/>
  <c r="P23" i="447"/>
  <c r="P114" i="447" s="1"/>
  <c r="O23" i="447"/>
  <c r="O114" i="447" s="1"/>
  <c r="N23" i="447"/>
  <c r="M23" i="447"/>
  <c r="L23" i="447"/>
  <c r="L114" i="447" s="1"/>
  <c r="K23" i="447"/>
  <c r="K114" i="447" s="1"/>
  <c r="J23" i="447"/>
  <c r="I23" i="447"/>
  <c r="H23" i="447"/>
  <c r="H114" i="447" s="1"/>
  <c r="G23" i="447"/>
  <c r="G114" i="447" s="1"/>
  <c r="F23" i="447"/>
  <c r="E23" i="447"/>
  <c r="D23" i="447"/>
  <c r="D114" i="447" s="1"/>
  <c r="C23" i="447"/>
  <c r="C114" i="447" s="1"/>
  <c r="B23" i="447"/>
  <c r="AF22" i="447"/>
  <c r="AF21" i="447"/>
  <c r="AF20" i="447"/>
  <c r="AF19" i="447"/>
  <c r="AF18" i="447"/>
  <c r="AF17" i="447"/>
  <c r="AF16" i="447"/>
  <c r="AF15" i="447"/>
  <c r="AF14" i="447"/>
  <c r="AF13" i="447"/>
  <c r="B12" i="447"/>
  <c r="AN10" i="447"/>
  <c r="AG10" i="447"/>
  <c r="AF10" i="447"/>
  <c r="D10" i="447"/>
  <c r="C10" i="447"/>
  <c r="F7" i="447"/>
  <c r="B7" i="447"/>
  <c r="V6" i="447"/>
  <c r="U6" i="447"/>
  <c r="T6" i="447"/>
  <c r="B9" i="447" s="1"/>
  <c r="S6" i="447"/>
  <c r="R6" i="447"/>
  <c r="Q6" i="447"/>
  <c r="P6" i="447"/>
  <c r="F6" i="447"/>
  <c r="B6" i="447"/>
  <c r="P5" i="447"/>
  <c r="F5" i="447"/>
  <c r="B5" i="447"/>
  <c r="F4" i="447"/>
  <c r="B4" i="447"/>
  <c r="P3" i="447"/>
  <c r="F3" i="447"/>
  <c r="B3" i="447"/>
  <c r="P2" i="447"/>
  <c r="F2" i="447"/>
  <c r="B2" i="447"/>
  <c r="AP1" i="447"/>
  <c r="AN1" i="447"/>
  <c r="B1" i="447"/>
  <c r="A1" i="447"/>
  <c r="AG114" i="446"/>
  <c r="AG112" i="446"/>
  <c r="AF112" i="446"/>
  <c r="AE112" i="446"/>
  <c r="AD112" i="446"/>
  <c r="AC112" i="446"/>
  <c r="AB112" i="446"/>
  <c r="AA112" i="446"/>
  <c r="Z112" i="446"/>
  <c r="Y112" i="446"/>
  <c r="X112" i="446"/>
  <c r="W112" i="446"/>
  <c r="V112" i="446"/>
  <c r="U112" i="446"/>
  <c r="T112" i="446"/>
  <c r="S112" i="446"/>
  <c r="R112" i="446"/>
  <c r="Q112" i="446"/>
  <c r="P112" i="446"/>
  <c r="O112" i="446"/>
  <c r="N112" i="446"/>
  <c r="M112" i="446"/>
  <c r="L112" i="446"/>
  <c r="K112" i="446"/>
  <c r="J112" i="446"/>
  <c r="I112" i="446"/>
  <c r="H112" i="446"/>
  <c r="G112" i="446"/>
  <c r="F112" i="446"/>
  <c r="E112" i="446"/>
  <c r="D112" i="446"/>
  <c r="C112" i="446"/>
  <c r="B112" i="446"/>
  <c r="AI112" i="446" s="1"/>
  <c r="AI111" i="446"/>
  <c r="AI110" i="446"/>
  <c r="AI109" i="446"/>
  <c r="AI108" i="446"/>
  <c r="AI107" i="446"/>
  <c r="AI106" i="446"/>
  <c r="AI105" i="446"/>
  <c r="AI104" i="446"/>
  <c r="AI103" i="446"/>
  <c r="AI102" i="446"/>
  <c r="AI101" i="446"/>
  <c r="AI100" i="446"/>
  <c r="AI99" i="446"/>
  <c r="AI98" i="446"/>
  <c r="AI97" i="446"/>
  <c r="AI95" i="446"/>
  <c r="AG95" i="446"/>
  <c r="AI94" i="446"/>
  <c r="AG94" i="446"/>
  <c r="AI93" i="446"/>
  <c r="AG93" i="446"/>
  <c r="AI92" i="446"/>
  <c r="AG92" i="446"/>
  <c r="AI91" i="446"/>
  <c r="AG91" i="446"/>
  <c r="AI90" i="446"/>
  <c r="AG90" i="446"/>
  <c r="AI89" i="446"/>
  <c r="AG89" i="446"/>
  <c r="AI88" i="446"/>
  <c r="AG88" i="446"/>
  <c r="AI87" i="446"/>
  <c r="AG87" i="446"/>
  <c r="AI86" i="446"/>
  <c r="AG86" i="446"/>
  <c r="AI84" i="446"/>
  <c r="AG84" i="446"/>
  <c r="AG82" i="446"/>
  <c r="AG81" i="446"/>
  <c r="AG80" i="446"/>
  <c r="AG79" i="446"/>
  <c r="AG77" i="446"/>
  <c r="AG76" i="446"/>
  <c r="AG75" i="446"/>
  <c r="AG73" i="446"/>
  <c r="AG72" i="446"/>
  <c r="AI71" i="446"/>
  <c r="AG71" i="446"/>
  <c r="AG70" i="446"/>
  <c r="AG69" i="446"/>
  <c r="AI67" i="446"/>
  <c r="AI61" i="446"/>
  <c r="AG61" i="446"/>
  <c r="AG60" i="446"/>
  <c r="AD60" i="446"/>
  <c r="AC60" i="446"/>
  <c r="Z60" i="446"/>
  <c r="Y60" i="446"/>
  <c r="V60" i="446"/>
  <c r="U60" i="446"/>
  <c r="R60" i="446"/>
  <c r="Q60" i="446"/>
  <c r="N60" i="446"/>
  <c r="M60" i="446"/>
  <c r="J60" i="446"/>
  <c r="I60" i="446"/>
  <c r="F60" i="446"/>
  <c r="E60" i="446"/>
  <c r="B60" i="446"/>
  <c r="AG56" i="446"/>
  <c r="AG55" i="446"/>
  <c r="AG54" i="446"/>
  <c r="AG53" i="446"/>
  <c r="AG52" i="446"/>
  <c r="AG51" i="446"/>
  <c r="AG49" i="446"/>
  <c r="AG48" i="446"/>
  <c r="AD48" i="446"/>
  <c r="N48" i="446"/>
  <c r="AG47" i="446"/>
  <c r="AF47" i="446"/>
  <c r="AD47" i="446"/>
  <c r="AC47" i="446"/>
  <c r="AC48" i="446" s="1"/>
  <c r="Z47" i="446"/>
  <c r="Y47" i="446"/>
  <c r="Y48" i="446" s="1"/>
  <c r="V47" i="446"/>
  <c r="U47" i="446"/>
  <c r="U48" i="446" s="1"/>
  <c r="R47" i="446"/>
  <c r="Q47" i="446"/>
  <c r="Q48" i="446" s="1"/>
  <c r="N47" i="446"/>
  <c r="M47" i="446"/>
  <c r="M48" i="446" s="1"/>
  <c r="J47" i="446"/>
  <c r="I47" i="446"/>
  <c r="I48" i="446" s="1"/>
  <c r="F47" i="446"/>
  <c r="E47" i="446"/>
  <c r="E48" i="446" s="1"/>
  <c r="B47" i="446"/>
  <c r="AG45" i="446"/>
  <c r="AF45" i="446"/>
  <c r="AF60" i="446" s="1"/>
  <c r="AE45" i="446"/>
  <c r="AD45" i="446"/>
  <c r="AC45" i="446"/>
  <c r="AB45" i="446"/>
  <c r="AB60" i="446" s="1"/>
  <c r="AA45" i="446"/>
  <c r="Z45" i="446"/>
  <c r="Z48" i="446" s="1"/>
  <c r="Y45" i="446"/>
  <c r="X45" i="446"/>
  <c r="X60" i="446" s="1"/>
  <c r="W45" i="446"/>
  <c r="V45" i="446"/>
  <c r="U45" i="446"/>
  <c r="T45" i="446"/>
  <c r="T60" i="446" s="1"/>
  <c r="S45" i="446"/>
  <c r="R45" i="446"/>
  <c r="Q45" i="446"/>
  <c r="P45" i="446"/>
  <c r="P60" i="446" s="1"/>
  <c r="O45" i="446"/>
  <c r="N45" i="446"/>
  <c r="M45" i="446"/>
  <c r="L45" i="446"/>
  <c r="L60" i="446" s="1"/>
  <c r="K45" i="446"/>
  <c r="J45" i="446"/>
  <c r="J48" i="446" s="1"/>
  <c r="I45" i="446"/>
  <c r="H45" i="446"/>
  <c r="H60" i="446" s="1"/>
  <c r="G45" i="446"/>
  <c r="F45" i="446"/>
  <c r="E45" i="446"/>
  <c r="D45" i="446"/>
  <c r="D60" i="446" s="1"/>
  <c r="C45" i="446"/>
  <c r="B45" i="446"/>
  <c r="AI45" i="446" s="1"/>
  <c r="AG44" i="446"/>
  <c r="AG43" i="446"/>
  <c r="AG42" i="446"/>
  <c r="AG41" i="446"/>
  <c r="AG40" i="446"/>
  <c r="AG39" i="446"/>
  <c r="AG38" i="446"/>
  <c r="AG37" i="446"/>
  <c r="AG36" i="446"/>
  <c r="AG35" i="446"/>
  <c r="AG32" i="446"/>
  <c r="AF32" i="446"/>
  <c r="AE32" i="446"/>
  <c r="AD32" i="446"/>
  <c r="AC32" i="446"/>
  <c r="AB32" i="446"/>
  <c r="AA32" i="446"/>
  <c r="Z32" i="446"/>
  <c r="Y32" i="446"/>
  <c r="X32" i="446"/>
  <c r="W32" i="446"/>
  <c r="V32" i="446"/>
  <c r="U32" i="446"/>
  <c r="T32" i="446"/>
  <c r="S32" i="446"/>
  <c r="R32" i="446"/>
  <c r="Q32" i="446"/>
  <c r="P32" i="446"/>
  <c r="O32" i="446"/>
  <c r="N32" i="446"/>
  <c r="M32" i="446"/>
  <c r="L32" i="446"/>
  <c r="K32" i="446"/>
  <c r="J32" i="446"/>
  <c r="I32" i="446"/>
  <c r="H32" i="446"/>
  <c r="G32" i="446"/>
  <c r="F32" i="446"/>
  <c r="E32" i="446"/>
  <c r="D32" i="446"/>
  <c r="C32" i="446"/>
  <c r="B32" i="446"/>
  <c r="AI32" i="446" s="1"/>
  <c r="AG30" i="446"/>
  <c r="AG29" i="446"/>
  <c r="AG28" i="446"/>
  <c r="AG27" i="446"/>
  <c r="AG26" i="446"/>
  <c r="AG25" i="446"/>
  <c r="AG23" i="446"/>
  <c r="AF23" i="446"/>
  <c r="AF114" i="446" s="1"/>
  <c r="AE23" i="446"/>
  <c r="AD23" i="446"/>
  <c r="AC23" i="446"/>
  <c r="AB23" i="446"/>
  <c r="AB114" i="446" s="1"/>
  <c r="AA23" i="446"/>
  <c r="Z23" i="446"/>
  <c r="Y23" i="446"/>
  <c r="X23" i="446"/>
  <c r="X114" i="446" s="1"/>
  <c r="W23" i="446"/>
  <c r="V23" i="446"/>
  <c r="U23" i="446"/>
  <c r="T23" i="446"/>
  <c r="T114" i="446" s="1"/>
  <c r="S23" i="446"/>
  <c r="R23" i="446"/>
  <c r="Q23" i="446"/>
  <c r="P23" i="446"/>
  <c r="P114" i="446" s="1"/>
  <c r="O23" i="446"/>
  <c r="N23" i="446"/>
  <c r="M23" i="446"/>
  <c r="L23" i="446"/>
  <c r="L114" i="446" s="1"/>
  <c r="K23" i="446"/>
  <c r="J23" i="446"/>
  <c r="I23" i="446"/>
  <c r="H23" i="446"/>
  <c r="H114" i="446" s="1"/>
  <c r="G23" i="446"/>
  <c r="F23" i="446"/>
  <c r="E23" i="446"/>
  <c r="D23" i="446"/>
  <c r="D114" i="446" s="1"/>
  <c r="C23" i="446"/>
  <c r="B23" i="446"/>
  <c r="AG22" i="446"/>
  <c r="AG21" i="446"/>
  <c r="AG20" i="446"/>
  <c r="AG19" i="446"/>
  <c r="AG18" i="446"/>
  <c r="AG17" i="446"/>
  <c r="AG16" i="446"/>
  <c r="AG15" i="446"/>
  <c r="AG14" i="446"/>
  <c r="AG13" i="446"/>
  <c r="B12" i="446"/>
  <c r="AO10" i="446"/>
  <c r="AH10" i="446"/>
  <c r="AG10" i="446"/>
  <c r="C10" i="446"/>
  <c r="F7" i="446"/>
  <c r="B7" i="446"/>
  <c r="V6" i="446"/>
  <c r="U6" i="446"/>
  <c r="T6" i="446"/>
  <c r="S6" i="446"/>
  <c r="R6" i="446"/>
  <c r="Q6" i="446"/>
  <c r="B9" i="446" s="1"/>
  <c r="P6" i="446"/>
  <c r="F6" i="446"/>
  <c r="B6" i="446"/>
  <c r="P5" i="446"/>
  <c r="F5" i="446"/>
  <c r="B5" i="446"/>
  <c r="F4" i="446"/>
  <c r="B4" i="446"/>
  <c r="P3" i="446"/>
  <c r="F3" i="446"/>
  <c r="B3" i="446"/>
  <c r="P2" i="446"/>
  <c r="F2" i="446"/>
  <c r="B2" i="446"/>
  <c r="AQ1" i="446"/>
  <c r="AO1" i="446"/>
  <c r="B1" i="446"/>
  <c r="A1" i="446"/>
  <c r="AD114" i="445"/>
  <c r="Y114" i="445"/>
  <c r="Q114" i="445"/>
  <c r="I114" i="445"/>
  <c r="AD112" i="445"/>
  <c r="AC112" i="445"/>
  <c r="AB112" i="445"/>
  <c r="AA112" i="445"/>
  <c r="Z112" i="445"/>
  <c r="Y112" i="445"/>
  <c r="X112" i="445"/>
  <c r="W112" i="445"/>
  <c r="V112" i="445"/>
  <c r="U112" i="445"/>
  <c r="T112" i="445"/>
  <c r="S112" i="445"/>
  <c r="R112" i="445"/>
  <c r="Q112" i="445"/>
  <c r="P112" i="445"/>
  <c r="O112" i="445"/>
  <c r="N112" i="445"/>
  <c r="M112" i="445"/>
  <c r="L112" i="445"/>
  <c r="K112" i="445"/>
  <c r="J112" i="445"/>
  <c r="I112" i="445"/>
  <c r="H112" i="445"/>
  <c r="G112" i="445"/>
  <c r="F112" i="445"/>
  <c r="E112" i="445"/>
  <c r="D112" i="445"/>
  <c r="C112" i="445"/>
  <c r="B112" i="445"/>
  <c r="AF111" i="445"/>
  <c r="AF110" i="445"/>
  <c r="AF109" i="445"/>
  <c r="AF108" i="445"/>
  <c r="AF107" i="445"/>
  <c r="AF106" i="445"/>
  <c r="AF105" i="445"/>
  <c r="AF104" i="445"/>
  <c r="AF103" i="445"/>
  <c r="AF102" i="445"/>
  <c r="AF101" i="445"/>
  <c r="AF100" i="445"/>
  <c r="AF99" i="445"/>
  <c r="AF98" i="445"/>
  <c r="AF97" i="445"/>
  <c r="AF95" i="445"/>
  <c r="AD95" i="445"/>
  <c r="AF94" i="445"/>
  <c r="AD94" i="445"/>
  <c r="AF93" i="445"/>
  <c r="AD93" i="445"/>
  <c r="AF92" i="445"/>
  <c r="AD92" i="445"/>
  <c r="AF91" i="445"/>
  <c r="AD91" i="445"/>
  <c r="AF90" i="445"/>
  <c r="AD90" i="445"/>
  <c r="AF89" i="445"/>
  <c r="AD89" i="445"/>
  <c r="AF88" i="445"/>
  <c r="AD88" i="445"/>
  <c r="AF87" i="445"/>
  <c r="AD87" i="445"/>
  <c r="AF86" i="445"/>
  <c r="AD86" i="445"/>
  <c r="AF84" i="445"/>
  <c r="AD84" i="445"/>
  <c r="AD82" i="445"/>
  <c r="AD81" i="445"/>
  <c r="AD80" i="445"/>
  <c r="AD79" i="445"/>
  <c r="AD77" i="445"/>
  <c r="AD76" i="445"/>
  <c r="AD75" i="445"/>
  <c r="AD73" i="445"/>
  <c r="AD72" i="445"/>
  <c r="AF71" i="445"/>
  <c r="AD71" i="445"/>
  <c r="AD70" i="445"/>
  <c r="AD69" i="445"/>
  <c r="AF67" i="445"/>
  <c r="AF61" i="445"/>
  <c r="AD61" i="445"/>
  <c r="AD60" i="445"/>
  <c r="AC60" i="445"/>
  <c r="AB60" i="445"/>
  <c r="AA60" i="445"/>
  <c r="Y60" i="445"/>
  <c r="X60" i="445"/>
  <c r="W60" i="445"/>
  <c r="U60" i="445"/>
  <c r="T60" i="445"/>
  <c r="S60" i="445"/>
  <c r="Q60" i="445"/>
  <c r="P60" i="445"/>
  <c r="O60" i="445"/>
  <c r="M60" i="445"/>
  <c r="L60" i="445"/>
  <c r="K60" i="445"/>
  <c r="I60" i="445"/>
  <c r="H60" i="445"/>
  <c r="G60" i="445"/>
  <c r="E60" i="445"/>
  <c r="D60" i="445"/>
  <c r="C60" i="445"/>
  <c r="AD56" i="445"/>
  <c r="AD55" i="445"/>
  <c r="AD54" i="445"/>
  <c r="AD53" i="445"/>
  <c r="AD52" i="445"/>
  <c r="AD51" i="445"/>
  <c r="AD49" i="445"/>
  <c r="AD48" i="445"/>
  <c r="AA48" i="445"/>
  <c r="S48" i="445"/>
  <c r="O48" i="445"/>
  <c r="K48" i="445"/>
  <c r="C48" i="445"/>
  <c r="AD47" i="445"/>
  <c r="AC47" i="445"/>
  <c r="AC48" i="445" s="1"/>
  <c r="AB47" i="445"/>
  <c r="Y47" i="445"/>
  <c r="Y48" i="445" s="1"/>
  <c r="X47" i="445"/>
  <c r="U47" i="445"/>
  <c r="U48" i="445" s="1"/>
  <c r="T47" i="445"/>
  <c r="Q47" i="445"/>
  <c r="Q48" i="445" s="1"/>
  <c r="P47" i="445"/>
  <c r="M47" i="445"/>
  <c r="M48" i="445" s="1"/>
  <c r="L47" i="445"/>
  <c r="I47" i="445"/>
  <c r="I48" i="445" s="1"/>
  <c r="H47" i="445"/>
  <c r="E47" i="445"/>
  <c r="E48" i="445" s="1"/>
  <c r="D47" i="445"/>
  <c r="AD45" i="445"/>
  <c r="AC45" i="445"/>
  <c r="AB45" i="445"/>
  <c r="AA45" i="445"/>
  <c r="AA47" i="445" s="1"/>
  <c r="Z45" i="445"/>
  <c r="Y45" i="445"/>
  <c r="X45" i="445"/>
  <c r="W45" i="445"/>
  <c r="W47" i="445" s="1"/>
  <c r="V45" i="445"/>
  <c r="U45" i="445"/>
  <c r="T45" i="445"/>
  <c r="S45" i="445"/>
  <c r="S47" i="445" s="1"/>
  <c r="R45" i="445"/>
  <c r="Q45" i="445"/>
  <c r="P45" i="445"/>
  <c r="O45" i="445"/>
  <c r="O47" i="445" s="1"/>
  <c r="N45" i="445"/>
  <c r="M45" i="445"/>
  <c r="L45" i="445"/>
  <c r="K45" i="445"/>
  <c r="K47" i="445" s="1"/>
  <c r="J45" i="445"/>
  <c r="I45" i="445"/>
  <c r="H45" i="445"/>
  <c r="G45" i="445"/>
  <c r="G47" i="445" s="1"/>
  <c r="F45" i="445"/>
  <c r="E45" i="445"/>
  <c r="D45" i="445"/>
  <c r="C45" i="445"/>
  <c r="C47" i="445" s="1"/>
  <c r="B45" i="445"/>
  <c r="AD44" i="445"/>
  <c r="AD43" i="445"/>
  <c r="AD42" i="445"/>
  <c r="AD41" i="445"/>
  <c r="AD40" i="445"/>
  <c r="AD39" i="445"/>
  <c r="AD38" i="445"/>
  <c r="AD37" i="445"/>
  <c r="AD36" i="445"/>
  <c r="AD35" i="445"/>
  <c r="AD32" i="445"/>
  <c r="AC32" i="445"/>
  <c r="AB32" i="445"/>
  <c r="AA32" i="445"/>
  <c r="Z32" i="445"/>
  <c r="Y32" i="445"/>
  <c r="X32" i="445"/>
  <c r="W32" i="445"/>
  <c r="V32" i="445"/>
  <c r="U32" i="445"/>
  <c r="T32" i="445"/>
  <c r="S32" i="445"/>
  <c r="R32" i="445"/>
  <c r="Q32" i="445"/>
  <c r="P32" i="445"/>
  <c r="O32" i="445"/>
  <c r="N32" i="445"/>
  <c r="M32" i="445"/>
  <c r="L32" i="445"/>
  <c r="K32" i="445"/>
  <c r="J32" i="445"/>
  <c r="I32" i="445"/>
  <c r="H32" i="445"/>
  <c r="G32" i="445"/>
  <c r="F32" i="445"/>
  <c r="E32" i="445"/>
  <c r="D32" i="445"/>
  <c r="C32" i="445"/>
  <c r="B32" i="445"/>
  <c r="AD30" i="445"/>
  <c r="AD29" i="445"/>
  <c r="AD28" i="445"/>
  <c r="AD27" i="445"/>
  <c r="AD26" i="445"/>
  <c r="AD25" i="445"/>
  <c r="AD23" i="445"/>
  <c r="AC23" i="445"/>
  <c r="AC114" i="445" s="1"/>
  <c r="AB23" i="445"/>
  <c r="AA23" i="445"/>
  <c r="Z23" i="445"/>
  <c r="Y23" i="445"/>
  <c r="X23" i="445"/>
  <c r="W23" i="445"/>
  <c r="V23" i="445"/>
  <c r="U23" i="445"/>
  <c r="U114" i="445" s="1"/>
  <c r="T23" i="445"/>
  <c r="S23" i="445"/>
  <c r="R23" i="445"/>
  <c r="Q23" i="445"/>
  <c r="P23" i="445"/>
  <c r="O23" i="445"/>
  <c r="N23" i="445"/>
  <c r="M23" i="445"/>
  <c r="M114" i="445" s="1"/>
  <c r="L23" i="445"/>
  <c r="K23" i="445"/>
  <c r="J23" i="445"/>
  <c r="I23" i="445"/>
  <c r="H23" i="445"/>
  <c r="G23" i="445"/>
  <c r="F23" i="445"/>
  <c r="E23" i="445"/>
  <c r="E114" i="445" s="1"/>
  <c r="D23" i="445"/>
  <c r="C23" i="445"/>
  <c r="B23" i="445"/>
  <c r="AD22" i="445"/>
  <c r="AD21" i="445"/>
  <c r="AD20" i="445"/>
  <c r="AD19" i="445"/>
  <c r="AD18" i="445"/>
  <c r="AD17" i="445"/>
  <c r="AD16" i="445"/>
  <c r="AD15" i="445"/>
  <c r="AD14" i="445"/>
  <c r="AD13" i="445"/>
  <c r="C12" i="445"/>
  <c r="B12" i="445"/>
  <c r="AL10" i="445"/>
  <c r="AE10" i="445"/>
  <c r="AD10" i="445"/>
  <c r="E10" i="445"/>
  <c r="D10" i="445"/>
  <c r="D12" i="445" s="1"/>
  <c r="C10" i="445"/>
  <c r="F7" i="445"/>
  <c r="B7" i="445"/>
  <c r="V6" i="445"/>
  <c r="U6" i="445"/>
  <c r="T6" i="445"/>
  <c r="S6" i="445"/>
  <c r="D9" i="445" s="1"/>
  <c r="R6" i="445"/>
  <c r="C9" i="445" s="1"/>
  <c r="Q6" i="445"/>
  <c r="B9" i="445" s="1"/>
  <c r="P6" i="445"/>
  <c r="F6" i="445"/>
  <c r="B6" i="445"/>
  <c r="P5" i="445"/>
  <c r="F5" i="445"/>
  <c r="B5" i="445"/>
  <c r="F4" i="445"/>
  <c r="B4" i="445"/>
  <c r="P3" i="445"/>
  <c r="F3" i="445"/>
  <c r="B3" i="445"/>
  <c r="P2" i="445"/>
  <c r="F2" i="445"/>
  <c r="B2" i="445"/>
  <c r="AN1" i="445"/>
  <c r="AL1" i="445"/>
  <c r="B1" i="445"/>
  <c r="A1" i="445"/>
  <c r="AG114" i="444"/>
  <c r="AD114" i="444"/>
  <c r="N114" i="444"/>
  <c r="AG112" i="444"/>
  <c r="AF112" i="444"/>
  <c r="AE112" i="444"/>
  <c r="AD112" i="444"/>
  <c r="AC112" i="444"/>
  <c r="AB112" i="444"/>
  <c r="AA112" i="444"/>
  <c r="Z112" i="444"/>
  <c r="Y112" i="444"/>
  <c r="X112" i="444"/>
  <c r="W112" i="444"/>
  <c r="V112" i="444"/>
  <c r="U112" i="444"/>
  <c r="T112" i="444"/>
  <c r="S112" i="444"/>
  <c r="R112" i="444"/>
  <c r="Q112" i="444"/>
  <c r="P112" i="444"/>
  <c r="O112" i="444"/>
  <c r="N112" i="444"/>
  <c r="M112" i="444"/>
  <c r="L112" i="444"/>
  <c r="K112" i="444"/>
  <c r="J112" i="444"/>
  <c r="I112" i="444"/>
  <c r="H112" i="444"/>
  <c r="G112" i="444"/>
  <c r="F112" i="444"/>
  <c r="E112" i="444"/>
  <c r="D112" i="444"/>
  <c r="C112" i="444"/>
  <c r="B112" i="444"/>
  <c r="AI111" i="444"/>
  <c r="AI110" i="444"/>
  <c r="AI109" i="444"/>
  <c r="AI108" i="444"/>
  <c r="AI107" i="444"/>
  <c r="AI106" i="444"/>
  <c r="AI105" i="444"/>
  <c r="AI104" i="444"/>
  <c r="AI103" i="444"/>
  <c r="AI102" i="444"/>
  <c r="AI101" i="444"/>
  <c r="AI100" i="444"/>
  <c r="AI99" i="444"/>
  <c r="AI98" i="444"/>
  <c r="AI97" i="444"/>
  <c r="AI95" i="444"/>
  <c r="AG95" i="444"/>
  <c r="AI94" i="444"/>
  <c r="AG94" i="444"/>
  <c r="AI93" i="444"/>
  <c r="AG93" i="444"/>
  <c r="AI92" i="444"/>
  <c r="AG92" i="444"/>
  <c r="AI91" i="444"/>
  <c r="AG91" i="444"/>
  <c r="AI90" i="444"/>
  <c r="AG90" i="444"/>
  <c r="AI89" i="444"/>
  <c r="AG89" i="444"/>
  <c r="AI88" i="444"/>
  <c r="AG88" i="444"/>
  <c r="AI87" i="444"/>
  <c r="AG87" i="444"/>
  <c r="AI86" i="444"/>
  <c r="AG86" i="444"/>
  <c r="AI84" i="444"/>
  <c r="AG84" i="444"/>
  <c r="AG82" i="444"/>
  <c r="AG81" i="444"/>
  <c r="AG80" i="444"/>
  <c r="AG79" i="444"/>
  <c r="AG77" i="444"/>
  <c r="AG76" i="444"/>
  <c r="AG75" i="444"/>
  <c r="AG73" i="444"/>
  <c r="AG72" i="444"/>
  <c r="AI71" i="444"/>
  <c r="AG71" i="444"/>
  <c r="AG70" i="444"/>
  <c r="AG69" i="444"/>
  <c r="AI67" i="444"/>
  <c r="AI61" i="444"/>
  <c r="AG61" i="444"/>
  <c r="AG60" i="444"/>
  <c r="AD60" i="444"/>
  <c r="AC60" i="444"/>
  <c r="Y60" i="444"/>
  <c r="V60" i="444"/>
  <c r="U60" i="444"/>
  <c r="Q60" i="444"/>
  <c r="N60" i="444"/>
  <c r="M60" i="444"/>
  <c r="I60" i="444"/>
  <c r="F60" i="444"/>
  <c r="E60" i="444"/>
  <c r="AG56" i="444"/>
  <c r="AG55" i="444"/>
  <c r="AG54" i="444"/>
  <c r="AG53" i="444"/>
  <c r="AG52" i="444"/>
  <c r="AG51" i="444"/>
  <c r="AG49" i="444"/>
  <c r="AG48" i="444"/>
  <c r="AG47" i="444"/>
  <c r="AD47" i="444"/>
  <c r="AC47" i="444"/>
  <c r="Z47" i="444"/>
  <c r="Y47" i="444"/>
  <c r="Y48" i="444" s="1"/>
  <c r="V47" i="444"/>
  <c r="U47" i="444"/>
  <c r="U48" i="444" s="1"/>
  <c r="R47" i="444"/>
  <c r="Q47" i="444"/>
  <c r="Q48" i="444" s="1"/>
  <c r="N47" i="444"/>
  <c r="M47" i="444"/>
  <c r="J47" i="444"/>
  <c r="I47" i="444"/>
  <c r="I48" i="444" s="1"/>
  <c r="F47" i="444"/>
  <c r="E47" i="444"/>
  <c r="E48" i="444" s="1"/>
  <c r="B47" i="444"/>
  <c r="AG45" i="444"/>
  <c r="AF45" i="444"/>
  <c r="AF60" i="444" s="1"/>
  <c r="AE45" i="444"/>
  <c r="AD45" i="444"/>
  <c r="AC45" i="444"/>
  <c r="AB45" i="444"/>
  <c r="AB60" i="444" s="1"/>
  <c r="AA45" i="444"/>
  <c r="Z45" i="444"/>
  <c r="Z60" i="444" s="1"/>
  <c r="Y45" i="444"/>
  <c r="X45" i="444"/>
  <c r="X60" i="444" s="1"/>
  <c r="W45" i="444"/>
  <c r="V45" i="444"/>
  <c r="U45" i="444"/>
  <c r="T45" i="444"/>
  <c r="T60" i="444" s="1"/>
  <c r="S45" i="444"/>
  <c r="R45" i="444"/>
  <c r="R60" i="444" s="1"/>
  <c r="Q45" i="444"/>
  <c r="P45" i="444"/>
  <c r="P60" i="444" s="1"/>
  <c r="O45" i="444"/>
  <c r="N45" i="444"/>
  <c r="M45" i="444"/>
  <c r="L45" i="444"/>
  <c r="L60" i="444" s="1"/>
  <c r="K45" i="444"/>
  <c r="J45" i="444"/>
  <c r="J60" i="444" s="1"/>
  <c r="I45" i="444"/>
  <c r="H45" i="444"/>
  <c r="H60" i="444" s="1"/>
  <c r="G45" i="444"/>
  <c r="F45" i="444"/>
  <c r="E45" i="444"/>
  <c r="D45" i="444"/>
  <c r="D60" i="444" s="1"/>
  <c r="C45" i="444"/>
  <c r="B45" i="444"/>
  <c r="B60" i="444" s="1"/>
  <c r="AG44" i="444"/>
  <c r="AG43" i="444"/>
  <c r="AG42" i="444"/>
  <c r="AG41" i="444"/>
  <c r="AG40" i="444"/>
  <c r="AG39" i="444"/>
  <c r="AG38" i="444"/>
  <c r="AG37" i="444"/>
  <c r="AG36" i="444"/>
  <c r="AG35" i="444"/>
  <c r="AG32" i="444"/>
  <c r="AF32" i="444"/>
  <c r="AE32" i="444"/>
  <c r="AD32" i="444"/>
  <c r="AC32" i="444"/>
  <c r="AB32" i="444"/>
  <c r="AA32" i="444"/>
  <c r="Z32" i="444"/>
  <c r="Y32" i="444"/>
  <c r="X32" i="444"/>
  <c r="W32" i="444"/>
  <c r="V32" i="444"/>
  <c r="U32" i="444"/>
  <c r="T32" i="444"/>
  <c r="S32" i="444"/>
  <c r="R32" i="444"/>
  <c r="Q32" i="444"/>
  <c r="P32" i="444"/>
  <c r="O32" i="444"/>
  <c r="N32" i="444"/>
  <c r="M32" i="444"/>
  <c r="L32" i="444"/>
  <c r="K32" i="444"/>
  <c r="J32" i="444"/>
  <c r="I32" i="444"/>
  <c r="H32" i="444"/>
  <c r="G32" i="444"/>
  <c r="F32" i="444"/>
  <c r="E32" i="444"/>
  <c r="D32" i="444"/>
  <c r="C32" i="444"/>
  <c r="B32" i="444"/>
  <c r="AI32" i="444" s="1"/>
  <c r="AG30" i="444"/>
  <c r="AG29" i="444"/>
  <c r="AG28" i="444"/>
  <c r="AG27" i="444"/>
  <c r="AG26" i="444"/>
  <c r="AG25" i="444"/>
  <c r="AG23" i="444"/>
  <c r="AF23" i="444"/>
  <c r="AF114" i="444" s="1"/>
  <c r="AE23" i="444"/>
  <c r="AD23" i="444"/>
  <c r="AC23" i="444"/>
  <c r="AB23" i="444"/>
  <c r="AB114" i="444" s="1"/>
  <c r="AA23" i="444"/>
  <c r="Z23" i="444"/>
  <c r="Y23" i="444"/>
  <c r="X23" i="444"/>
  <c r="X114" i="444" s="1"/>
  <c r="W23" i="444"/>
  <c r="V23" i="444"/>
  <c r="V114" i="444" s="1"/>
  <c r="U23" i="444"/>
  <c r="T23" i="444"/>
  <c r="T114" i="444" s="1"/>
  <c r="S23" i="444"/>
  <c r="R23" i="444"/>
  <c r="R114" i="444" s="1"/>
  <c r="Q23" i="444"/>
  <c r="P23" i="444"/>
  <c r="P114" i="444" s="1"/>
  <c r="O23" i="444"/>
  <c r="N23" i="444"/>
  <c r="M23" i="444"/>
  <c r="L23" i="444"/>
  <c r="L114" i="444" s="1"/>
  <c r="K23" i="444"/>
  <c r="J23" i="444"/>
  <c r="I23" i="444"/>
  <c r="H23" i="444"/>
  <c r="H114" i="444" s="1"/>
  <c r="G23" i="444"/>
  <c r="F23" i="444"/>
  <c r="F114" i="444" s="1"/>
  <c r="E23" i="444"/>
  <c r="D23" i="444"/>
  <c r="D114" i="444" s="1"/>
  <c r="C23" i="444"/>
  <c r="B23" i="444"/>
  <c r="B114" i="444" s="1"/>
  <c r="AG22" i="444"/>
  <c r="AG21" i="444"/>
  <c r="AG20" i="444"/>
  <c r="AG19" i="444"/>
  <c r="AG18" i="444"/>
  <c r="AG17" i="444"/>
  <c r="AG16" i="444"/>
  <c r="AG15" i="444"/>
  <c r="AG14" i="444"/>
  <c r="AG13" i="444"/>
  <c r="B12" i="444"/>
  <c r="AO10" i="444"/>
  <c r="AH10" i="444"/>
  <c r="AG10" i="444"/>
  <c r="D10" i="444"/>
  <c r="C10" i="444"/>
  <c r="C12" i="444" s="1"/>
  <c r="F7" i="444"/>
  <c r="B7" i="444"/>
  <c r="V6" i="444"/>
  <c r="U6" i="444"/>
  <c r="B9" i="444" s="1"/>
  <c r="T6" i="444"/>
  <c r="S6" i="444"/>
  <c r="R6" i="444"/>
  <c r="Q6" i="444"/>
  <c r="P6" i="444"/>
  <c r="F6" i="444"/>
  <c r="B6" i="444"/>
  <c r="P5" i="444"/>
  <c r="F5" i="444"/>
  <c r="B5" i="444"/>
  <c r="F4" i="444"/>
  <c r="B4" i="444"/>
  <c r="P3" i="444"/>
  <c r="F3" i="444"/>
  <c r="B3" i="444"/>
  <c r="P2" i="444"/>
  <c r="F2" i="444"/>
  <c r="B2" i="444"/>
  <c r="AQ1" i="444"/>
  <c r="AO1" i="444"/>
  <c r="B1" i="444"/>
  <c r="A1" i="444"/>
  <c r="E31" i="1"/>
  <c r="E30" i="1"/>
  <c r="E29" i="1"/>
  <c r="D9" i="444" l="1"/>
  <c r="D12" i="444"/>
  <c r="E10" i="444"/>
  <c r="E12" i="445"/>
  <c r="F10" i="445"/>
  <c r="E9" i="445"/>
  <c r="H48" i="445"/>
  <c r="P48" i="445"/>
  <c r="X48" i="445"/>
  <c r="C9" i="446"/>
  <c r="C12" i="446"/>
  <c r="D10" i="446"/>
  <c r="B48" i="446"/>
  <c r="R48" i="446"/>
  <c r="M48" i="444"/>
  <c r="AC48" i="444"/>
  <c r="F48" i="444"/>
  <c r="N48" i="444"/>
  <c r="V48" i="444"/>
  <c r="AD48" i="444"/>
  <c r="E49" i="444"/>
  <c r="AI112" i="444"/>
  <c r="D114" i="445"/>
  <c r="H114" i="445"/>
  <c r="L114" i="445"/>
  <c r="P114" i="445"/>
  <c r="T114" i="445"/>
  <c r="X114" i="445"/>
  <c r="AB114" i="445"/>
  <c r="B60" i="445"/>
  <c r="B47" i="445"/>
  <c r="B49" i="445" s="1"/>
  <c r="AF45" i="445"/>
  <c r="F60" i="445"/>
  <c r="F47" i="445"/>
  <c r="J60" i="445"/>
  <c r="J48" i="445"/>
  <c r="J47" i="445"/>
  <c r="N60" i="445"/>
  <c r="N47" i="445"/>
  <c r="N48" i="445" s="1"/>
  <c r="R60" i="445"/>
  <c r="R48" i="445"/>
  <c r="R47" i="445"/>
  <c r="V60" i="445"/>
  <c r="V47" i="445"/>
  <c r="Z60" i="445"/>
  <c r="Z48" i="445"/>
  <c r="Z47" i="445"/>
  <c r="C60" i="446"/>
  <c r="C47" i="446"/>
  <c r="C114" i="446"/>
  <c r="G60" i="446"/>
  <c r="G48" i="446"/>
  <c r="G47" i="446"/>
  <c r="K60" i="446"/>
  <c r="K48" i="446"/>
  <c r="K47" i="446"/>
  <c r="K114" i="446"/>
  <c r="O60" i="446"/>
  <c r="O47" i="446"/>
  <c r="O48" i="446" s="1"/>
  <c r="O114" i="446"/>
  <c r="S60" i="446"/>
  <c r="S48" i="446"/>
  <c r="S47" i="446"/>
  <c r="S114" i="446"/>
  <c r="W60" i="446"/>
  <c r="W47" i="446"/>
  <c r="AA60" i="446"/>
  <c r="AA47" i="446"/>
  <c r="AA114" i="446"/>
  <c r="AE60" i="446"/>
  <c r="AE48" i="446"/>
  <c r="AE47" i="446"/>
  <c r="AE114" i="446"/>
  <c r="G114" i="446"/>
  <c r="E114" i="447"/>
  <c r="I114" i="447"/>
  <c r="M114" i="447"/>
  <c r="Q114" i="447"/>
  <c r="U114" i="447"/>
  <c r="Y114" i="447"/>
  <c r="AC114" i="447"/>
  <c r="AH23" i="447"/>
  <c r="C9" i="448"/>
  <c r="C12" i="448"/>
  <c r="D10" i="448"/>
  <c r="E114" i="444"/>
  <c r="I114" i="444"/>
  <c r="M114" i="444"/>
  <c r="Q114" i="444"/>
  <c r="U114" i="444"/>
  <c r="Y114" i="444"/>
  <c r="AC114" i="444"/>
  <c r="AI45" i="444"/>
  <c r="AF32" i="445"/>
  <c r="D49" i="445"/>
  <c r="D48" i="445"/>
  <c r="C49" i="445" s="1"/>
  <c r="L48" i="445"/>
  <c r="T48" i="445"/>
  <c r="AB48" i="445"/>
  <c r="G48" i="445"/>
  <c r="W48" i="445"/>
  <c r="B114" i="446"/>
  <c r="F114" i="446"/>
  <c r="J114" i="446"/>
  <c r="N114" i="446"/>
  <c r="R114" i="446"/>
  <c r="V114" i="446"/>
  <c r="Z114" i="446"/>
  <c r="AD114" i="446"/>
  <c r="AI23" i="446"/>
  <c r="W114" i="446"/>
  <c r="C9" i="444"/>
  <c r="AI23" i="444"/>
  <c r="C60" i="444"/>
  <c r="C47" i="444"/>
  <c r="C114" i="444"/>
  <c r="AI114" i="444" s="1"/>
  <c r="G60" i="444"/>
  <c r="G47" i="444"/>
  <c r="G114" i="444"/>
  <c r="K60" i="444"/>
  <c r="K47" i="444"/>
  <c r="K114" i="444"/>
  <c r="O60" i="444"/>
  <c r="O47" i="444"/>
  <c r="O114" i="444"/>
  <c r="S60" i="444"/>
  <c r="S47" i="444"/>
  <c r="S114" i="444"/>
  <c r="W60" i="444"/>
  <c r="W47" i="444"/>
  <c r="W114" i="444"/>
  <c r="AA60" i="444"/>
  <c r="AA47" i="444"/>
  <c r="AA114" i="444"/>
  <c r="AE60" i="444"/>
  <c r="AE47" i="444"/>
  <c r="AE114" i="444"/>
  <c r="B48" i="444"/>
  <c r="J48" i="444"/>
  <c r="R48" i="444"/>
  <c r="Z48" i="444"/>
  <c r="J114" i="444"/>
  <c r="Z114" i="444"/>
  <c r="F48" i="447"/>
  <c r="J48" i="447"/>
  <c r="V48" i="447"/>
  <c r="Z48" i="447"/>
  <c r="B48" i="447"/>
  <c r="D12" i="447"/>
  <c r="D9" i="447"/>
  <c r="E10" i="447"/>
  <c r="E49" i="447" s="1"/>
  <c r="B60" i="448"/>
  <c r="B48" i="448"/>
  <c r="B47" i="448"/>
  <c r="F60" i="448"/>
  <c r="F47" i="448"/>
  <c r="F48" i="448" s="1"/>
  <c r="J60" i="448"/>
  <c r="J48" i="448"/>
  <c r="J47" i="448"/>
  <c r="N60" i="448"/>
  <c r="N47" i="448"/>
  <c r="R60" i="448"/>
  <c r="R48" i="448"/>
  <c r="R47" i="448"/>
  <c r="V60" i="448"/>
  <c r="V47" i="448"/>
  <c r="V48" i="448" s="1"/>
  <c r="Z60" i="448"/>
  <c r="Z48" i="448"/>
  <c r="Z47" i="448"/>
  <c r="AD60" i="448"/>
  <c r="AD47" i="448"/>
  <c r="AI45" i="448"/>
  <c r="B114" i="445"/>
  <c r="F114" i="445"/>
  <c r="J114" i="445"/>
  <c r="N114" i="445"/>
  <c r="R114" i="445"/>
  <c r="V114" i="445"/>
  <c r="Z114" i="445"/>
  <c r="AF112" i="445"/>
  <c r="F48" i="446"/>
  <c r="V48" i="446"/>
  <c r="Q48" i="448"/>
  <c r="D47" i="444"/>
  <c r="D49" i="444" s="1"/>
  <c r="H47" i="444"/>
  <c r="L47" i="444"/>
  <c r="P47" i="444"/>
  <c r="T47" i="444"/>
  <c r="X47" i="444"/>
  <c r="AB47" i="444"/>
  <c r="AF47" i="444"/>
  <c r="D48" i="444"/>
  <c r="H48" i="444"/>
  <c r="L48" i="444"/>
  <c r="P48" i="444"/>
  <c r="T48" i="444"/>
  <c r="X48" i="444"/>
  <c r="AB48" i="444"/>
  <c r="AF48" i="444"/>
  <c r="C114" i="445"/>
  <c r="G114" i="445"/>
  <c r="K114" i="445"/>
  <c r="O114" i="445"/>
  <c r="S114" i="445"/>
  <c r="W114" i="445"/>
  <c r="AA114" i="445"/>
  <c r="AF23" i="445"/>
  <c r="E114" i="446"/>
  <c r="I114" i="446"/>
  <c r="M114" i="446"/>
  <c r="Q114" i="446"/>
  <c r="U114" i="446"/>
  <c r="Y114" i="446"/>
  <c r="AC114" i="446"/>
  <c r="AH32" i="447"/>
  <c r="E60" i="447"/>
  <c r="E48" i="447"/>
  <c r="D49" i="447" s="1"/>
  <c r="I60" i="447"/>
  <c r="I48" i="447"/>
  <c r="M60" i="447"/>
  <c r="M48" i="447"/>
  <c r="Q60" i="447"/>
  <c r="U60" i="447"/>
  <c r="U48" i="447"/>
  <c r="Y60" i="447"/>
  <c r="Y48" i="447"/>
  <c r="AC60" i="447"/>
  <c r="AC48" i="447"/>
  <c r="AH45" i="447"/>
  <c r="Q47" i="447"/>
  <c r="AH114" i="447"/>
  <c r="E114" i="448"/>
  <c r="I114" i="448"/>
  <c r="M114" i="448"/>
  <c r="Q114" i="448"/>
  <c r="U114" i="448"/>
  <c r="Y114" i="448"/>
  <c r="AC114" i="448"/>
  <c r="E48" i="448"/>
  <c r="U48" i="448"/>
  <c r="C48" i="447"/>
  <c r="B49" i="447" s="1"/>
  <c r="G48" i="447"/>
  <c r="K48" i="447"/>
  <c r="O48" i="447"/>
  <c r="S48" i="447"/>
  <c r="W48" i="447"/>
  <c r="AA48" i="447"/>
  <c r="AE48" i="447"/>
  <c r="C60" i="447"/>
  <c r="G60" i="447"/>
  <c r="K60" i="447"/>
  <c r="O60" i="447"/>
  <c r="S60" i="447"/>
  <c r="W60" i="447"/>
  <c r="AA60" i="447"/>
  <c r="AE60" i="447"/>
  <c r="B114" i="448"/>
  <c r="F114" i="448"/>
  <c r="J114" i="448"/>
  <c r="N114" i="448"/>
  <c r="R114" i="448"/>
  <c r="V114" i="448"/>
  <c r="Z114" i="448"/>
  <c r="AD114" i="448"/>
  <c r="AI23" i="448"/>
  <c r="C49" i="449"/>
  <c r="D47" i="446"/>
  <c r="D49" i="446" s="1"/>
  <c r="H47" i="446"/>
  <c r="L47" i="446"/>
  <c r="L48" i="446" s="1"/>
  <c r="P47" i="446"/>
  <c r="T47" i="446"/>
  <c r="X47" i="446"/>
  <c r="AB47" i="446"/>
  <c r="AB48" i="446" s="1"/>
  <c r="H48" i="446"/>
  <c r="P48" i="446"/>
  <c r="X48" i="446"/>
  <c r="AF48" i="446"/>
  <c r="C9" i="447"/>
  <c r="C12" i="447"/>
  <c r="D48" i="447"/>
  <c r="C49" i="447" s="1"/>
  <c r="H48" i="447"/>
  <c r="L48" i="447"/>
  <c r="P48" i="447"/>
  <c r="T48" i="447"/>
  <c r="X48" i="447"/>
  <c r="AB48" i="447"/>
  <c r="D60" i="447"/>
  <c r="H60" i="447"/>
  <c r="L60" i="447"/>
  <c r="P60" i="447"/>
  <c r="T60" i="447"/>
  <c r="X60" i="447"/>
  <c r="AB60" i="447"/>
  <c r="C47" i="448"/>
  <c r="C49" i="448" s="1"/>
  <c r="G47" i="448"/>
  <c r="K47" i="448"/>
  <c r="O47" i="448"/>
  <c r="O48" i="448" s="1"/>
  <c r="S47" i="448"/>
  <c r="W47" i="448"/>
  <c r="AA47" i="448"/>
  <c r="C48" i="448"/>
  <c r="K48" i="448"/>
  <c r="S48" i="448"/>
  <c r="AA48" i="448"/>
  <c r="AE48" i="448"/>
  <c r="D49" i="449"/>
  <c r="AF114" i="448"/>
  <c r="E49" i="449"/>
  <c r="E10" i="449"/>
  <c r="B47" i="449"/>
  <c r="M47" i="449"/>
  <c r="R47" i="449"/>
  <c r="AC47" i="449"/>
  <c r="AC48" i="449" s="1"/>
  <c r="C48" i="449"/>
  <c r="I48" i="449"/>
  <c r="N48" i="449"/>
  <c r="S48" i="449"/>
  <c r="AD48" i="449"/>
  <c r="M60" i="449"/>
  <c r="AC60" i="449"/>
  <c r="C12" i="449"/>
  <c r="I47" i="449"/>
  <c r="Y47" i="449"/>
  <c r="Y48" i="449" s="1"/>
  <c r="Z48" i="449"/>
  <c r="F48" i="450"/>
  <c r="V48" i="450"/>
  <c r="D114" i="449"/>
  <c r="AH114" i="449" s="1"/>
  <c r="H114" i="449"/>
  <c r="L114" i="449"/>
  <c r="P114" i="449"/>
  <c r="T114" i="449"/>
  <c r="X114" i="449"/>
  <c r="AB114" i="449"/>
  <c r="D60" i="449"/>
  <c r="D48" i="449"/>
  <c r="H60" i="449"/>
  <c r="H48" i="449"/>
  <c r="L60" i="449"/>
  <c r="P60" i="449"/>
  <c r="T60" i="449"/>
  <c r="T48" i="449"/>
  <c r="X60" i="449"/>
  <c r="X48" i="449"/>
  <c r="AB60" i="449"/>
  <c r="P47" i="449"/>
  <c r="P48" i="449" s="1"/>
  <c r="AH23" i="449"/>
  <c r="AH45" i="449"/>
  <c r="L47" i="449"/>
  <c r="L48" i="449" s="1"/>
  <c r="Q47" i="449"/>
  <c r="AB47" i="449"/>
  <c r="AB48" i="449" s="1"/>
  <c r="AI45" i="450"/>
  <c r="E47" i="450"/>
  <c r="E48" i="450" s="1"/>
  <c r="I47" i="450"/>
  <c r="M47" i="450"/>
  <c r="Q47" i="450"/>
  <c r="U47" i="450"/>
  <c r="U48" i="450" s="1"/>
  <c r="Y47" i="450"/>
  <c r="AC47" i="450"/>
  <c r="I48" i="450"/>
  <c r="Q48" i="450"/>
  <c r="Y48" i="450"/>
  <c r="F60" i="450"/>
  <c r="V60" i="450"/>
  <c r="D10" i="450"/>
  <c r="D49" i="450" s="1"/>
  <c r="C12" i="450"/>
  <c r="AI114" i="450"/>
  <c r="AI23" i="450"/>
  <c r="B47" i="450"/>
  <c r="B49" i="450" s="1"/>
  <c r="F47" i="450"/>
  <c r="J47" i="450"/>
  <c r="J48" i="450" s="1"/>
  <c r="N47" i="450"/>
  <c r="R47" i="450"/>
  <c r="R48" i="450" s="1"/>
  <c r="V47" i="450"/>
  <c r="Z47" i="450"/>
  <c r="AD47" i="450"/>
  <c r="B48" i="450"/>
  <c r="AD48" i="450"/>
  <c r="E48" i="451"/>
  <c r="M48" i="451"/>
  <c r="C9" i="450"/>
  <c r="C49" i="450"/>
  <c r="D10" i="451"/>
  <c r="C12" i="451"/>
  <c r="AI23" i="451"/>
  <c r="B47" i="451"/>
  <c r="F47" i="451"/>
  <c r="J47" i="451"/>
  <c r="N47" i="451"/>
  <c r="R47" i="451"/>
  <c r="V47" i="451"/>
  <c r="Z47" i="451"/>
  <c r="AD47" i="451"/>
  <c r="B48" i="451"/>
  <c r="F48" i="451"/>
  <c r="J48" i="451"/>
  <c r="N48" i="451"/>
  <c r="R48" i="451"/>
  <c r="V48" i="451"/>
  <c r="Z48" i="451"/>
  <c r="AD48" i="451"/>
  <c r="H60" i="451"/>
  <c r="M60" i="451"/>
  <c r="X60" i="451"/>
  <c r="AC60" i="451"/>
  <c r="C9" i="451"/>
  <c r="C48" i="451"/>
  <c r="G48" i="451"/>
  <c r="O48" i="451"/>
  <c r="S48" i="451"/>
  <c r="W48" i="451"/>
  <c r="AE48" i="451"/>
  <c r="D60" i="451"/>
  <c r="I60" i="451"/>
  <c r="T60" i="451"/>
  <c r="Y60" i="451"/>
  <c r="D114" i="451"/>
  <c r="AI114" i="451" s="1"/>
  <c r="H114" i="451"/>
  <c r="L114" i="451"/>
  <c r="P114" i="451"/>
  <c r="T114" i="451"/>
  <c r="X114" i="451"/>
  <c r="AB114" i="451"/>
  <c r="AF114" i="451"/>
  <c r="D47" i="451"/>
  <c r="D49" i="451" s="1"/>
  <c r="H47" i="451"/>
  <c r="L47" i="451"/>
  <c r="L48" i="451" s="1"/>
  <c r="P47" i="451"/>
  <c r="T47" i="451"/>
  <c r="X47" i="451"/>
  <c r="AB47" i="451"/>
  <c r="AF47" i="451"/>
  <c r="P48" i="451"/>
  <c r="AB48" i="451"/>
  <c r="AF48" i="451"/>
  <c r="E60" i="451"/>
  <c r="U60" i="451"/>
  <c r="AI45" i="451"/>
  <c r="E47" i="451"/>
  <c r="I47" i="451"/>
  <c r="I48" i="451" s="1"/>
  <c r="M47" i="451"/>
  <c r="Q47" i="451"/>
  <c r="U47" i="451"/>
  <c r="Y47" i="451"/>
  <c r="Y48" i="451" s="1"/>
  <c r="AC47" i="451"/>
  <c r="AC48" i="451" s="1"/>
  <c r="Q48" i="451"/>
  <c r="D10" i="452"/>
  <c r="E114" i="452"/>
  <c r="I114" i="452"/>
  <c r="M114" i="452"/>
  <c r="Q114" i="452"/>
  <c r="U114" i="452"/>
  <c r="Y114" i="452"/>
  <c r="AC114" i="452"/>
  <c r="AH23" i="452"/>
  <c r="C60" i="452"/>
  <c r="C48" i="452"/>
  <c r="B49" i="452" s="1"/>
  <c r="G60" i="452"/>
  <c r="G48" i="452"/>
  <c r="K60" i="452"/>
  <c r="K48" i="452"/>
  <c r="O60" i="452"/>
  <c r="O48" i="452"/>
  <c r="S60" i="452"/>
  <c r="S48" i="452"/>
  <c r="W60" i="452"/>
  <c r="W48" i="452"/>
  <c r="AA60" i="452"/>
  <c r="AA48" i="452"/>
  <c r="AE60" i="452"/>
  <c r="AE48" i="452"/>
  <c r="D48" i="452"/>
  <c r="L48" i="452"/>
  <c r="T48" i="452"/>
  <c r="AB48" i="452"/>
  <c r="F48" i="452"/>
  <c r="N48" i="452"/>
  <c r="V48" i="452"/>
  <c r="AD48" i="452"/>
  <c r="C9" i="452"/>
  <c r="C114" i="452"/>
  <c r="AH114" i="452" s="1"/>
  <c r="G114" i="452"/>
  <c r="K114" i="452"/>
  <c r="O114" i="452"/>
  <c r="S114" i="452"/>
  <c r="W114" i="452"/>
  <c r="AA114" i="452"/>
  <c r="AE114" i="452"/>
  <c r="E60" i="452"/>
  <c r="E48" i="452"/>
  <c r="I60" i="452"/>
  <c r="M60" i="452"/>
  <c r="M48" i="452"/>
  <c r="Q60" i="452"/>
  <c r="Q48" i="452"/>
  <c r="U60" i="452"/>
  <c r="U48" i="452"/>
  <c r="Y60" i="452"/>
  <c r="AC60" i="452"/>
  <c r="AC48" i="452"/>
  <c r="AH45" i="452"/>
  <c r="I47" i="452"/>
  <c r="Q47" i="452"/>
  <c r="Y47" i="452"/>
  <c r="Y48" i="452" s="1"/>
  <c r="H48" i="452"/>
  <c r="P48" i="452"/>
  <c r="X48" i="452"/>
  <c r="C49" i="452"/>
  <c r="B48" i="452"/>
  <c r="J48" i="452"/>
  <c r="R48" i="452"/>
  <c r="Z48" i="452"/>
  <c r="AH112" i="452"/>
  <c r="D10" i="453"/>
  <c r="C12" i="453"/>
  <c r="B114" i="453"/>
  <c r="F114" i="453"/>
  <c r="J114" i="453"/>
  <c r="N114" i="453"/>
  <c r="R114" i="453"/>
  <c r="V114" i="453"/>
  <c r="Z114" i="453"/>
  <c r="AD114" i="453"/>
  <c r="AI23" i="453"/>
  <c r="B47" i="453"/>
  <c r="G47" i="453"/>
  <c r="R47" i="453"/>
  <c r="R48" i="453" s="1"/>
  <c r="W47" i="453"/>
  <c r="W48" i="453" s="1"/>
  <c r="B48" i="453"/>
  <c r="G48" i="453"/>
  <c r="M48" i="453"/>
  <c r="AC48" i="453"/>
  <c r="C9" i="453"/>
  <c r="D60" i="453"/>
  <c r="D48" i="453"/>
  <c r="D47" i="453"/>
  <c r="H60" i="453"/>
  <c r="H47" i="453"/>
  <c r="H48" i="453" s="1"/>
  <c r="L60" i="453"/>
  <c r="L48" i="453"/>
  <c r="L47" i="453"/>
  <c r="P60" i="453"/>
  <c r="P47" i="453"/>
  <c r="T60" i="453"/>
  <c r="T48" i="453"/>
  <c r="T47" i="453"/>
  <c r="X60" i="453"/>
  <c r="X47" i="453"/>
  <c r="X48" i="453" s="1"/>
  <c r="AB60" i="453"/>
  <c r="AB48" i="453"/>
  <c r="AB47" i="453"/>
  <c r="AF60" i="453"/>
  <c r="AF47" i="453"/>
  <c r="C47" i="453"/>
  <c r="N47" i="453"/>
  <c r="N48" i="453" s="1"/>
  <c r="S47" i="453"/>
  <c r="AD47" i="453"/>
  <c r="AD48" i="453" s="1"/>
  <c r="C48" i="453"/>
  <c r="I48" i="453"/>
  <c r="S48" i="453"/>
  <c r="Y48" i="453"/>
  <c r="D114" i="453"/>
  <c r="H114" i="453"/>
  <c r="L114" i="453"/>
  <c r="P114" i="453"/>
  <c r="T114" i="453"/>
  <c r="X114" i="453"/>
  <c r="AB114" i="453"/>
  <c r="AF114" i="453"/>
  <c r="J47" i="453"/>
  <c r="J48" i="453" s="1"/>
  <c r="O47" i="453"/>
  <c r="Z47" i="453"/>
  <c r="AE47" i="453"/>
  <c r="AE48" i="453" s="1"/>
  <c r="E48" i="453"/>
  <c r="O48" i="453"/>
  <c r="U48" i="453"/>
  <c r="Z48" i="453"/>
  <c r="AI45" i="453"/>
  <c r="F47" i="453"/>
  <c r="F48" i="453" s="1"/>
  <c r="K47" i="453"/>
  <c r="V47" i="453"/>
  <c r="K48" i="453"/>
  <c r="Q48" i="453"/>
  <c r="V48" i="453"/>
  <c r="AA48" i="453"/>
  <c r="AI112" i="453"/>
  <c r="D10" i="454"/>
  <c r="AH23" i="454"/>
  <c r="AH45" i="454"/>
  <c r="E47" i="454"/>
  <c r="I47" i="454"/>
  <c r="M47" i="454"/>
  <c r="Q47" i="454"/>
  <c r="U47" i="454"/>
  <c r="Y47" i="454"/>
  <c r="AC47" i="454"/>
  <c r="F48" i="454"/>
  <c r="N48" i="454"/>
  <c r="V48" i="454"/>
  <c r="G60" i="454"/>
  <c r="V60" i="454"/>
  <c r="B47" i="454"/>
  <c r="F47" i="454"/>
  <c r="J47" i="454"/>
  <c r="J48" i="454" s="1"/>
  <c r="N47" i="454"/>
  <c r="R47" i="454"/>
  <c r="Z47" i="454"/>
  <c r="AD47" i="454"/>
  <c r="AD48" i="454" s="1"/>
  <c r="G48" i="454"/>
  <c r="C47" i="454"/>
  <c r="C48" i="454" s="1"/>
  <c r="K47" i="454"/>
  <c r="K48" i="454" s="1"/>
  <c r="O47" i="454"/>
  <c r="S47" i="454"/>
  <c r="W47" i="454"/>
  <c r="AA47" i="454"/>
  <c r="AE47" i="454"/>
  <c r="D47" i="454"/>
  <c r="H47" i="454"/>
  <c r="L47" i="454"/>
  <c r="P47" i="454"/>
  <c r="T47" i="454"/>
  <c r="X47" i="454"/>
  <c r="AB47" i="454"/>
  <c r="E48" i="454"/>
  <c r="I48" i="454"/>
  <c r="C9" i="455"/>
  <c r="C12" i="455"/>
  <c r="D10" i="455"/>
  <c r="D114" i="455"/>
  <c r="AI114" i="455" s="1"/>
  <c r="H114" i="455"/>
  <c r="L114" i="455"/>
  <c r="P114" i="455"/>
  <c r="T114" i="455"/>
  <c r="X114" i="455"/>
  <c r="AB114" i="455"/>
  <c r="AF114" i="455"/>
  <c r="E60" i="455"/>
  <c r="E47" i="455"/>
  <c r="I60" i="455"/>
  <c r="I48" i="455"/>
  <c r="I47" i="455"/>
  <c r="M60" i="455"/>
  <c r="M47" i="455"/>
  <c r="M48" i="455" s="1"/>
  <c r="Q60" i="455"/>
  <c r="Q48" i="455"/>
  <c r="Q47" i="455"/>
  <c r="U60" i="455"/>
  <c r="U47" i="455"/>
  <c r="Y60" i="455"/>
  <c r="Y48" i="455"/>
  <c r="Y47" i="455"/>
  <c r="AC60" i="455"/>
  <c r="AC47" i="455"/>
  <c r="AC48" i="455" s="1"/>
  <c r="H47" i="455"/>
  <c r="P47" i="455"/>
  <c r="X47" i="455"/>
  <c r="AF47" i="455"/>
  <c r="W48" i="455"/>
  <c r="AE48" i="455"/>
  <c r="M114" i="455"/>
  <c r="Q114" i="455"/>
  <c r="U114" i="455"/>
  <c r="Y114" i="455"/>
  <c r="AC114" i="455"/>
  <c r="B60" i="455"/>
  <c r="B47" i="455"/>
  <c r="B49" i="455" s="1"/>
  <c r="AI45" i="455"/>
  <c r="F60" i="455"/>
  <c r="F47" i="455"/>
  <c r="F48" i="455" s="1"/>
  <c r="J60" i="455"/>
  <c r="J48" i="455"/>
  <c r="J47" i="455"/>
  <c r="N60" i="455"/>
  <c r="N47" i="455"/>
  <c r="R60" i="455"/>
  <c r="R48" i="455"/>
  <c r="R47" i="455"/>
  <c r="V60" i="455"/>
  <c r="V47" i="455"/>
  <c r="C47" i="455"/>
  <c r="K47" i="455"/>
  <c r="H48" i="455"/>
  <c r="P48" i="455"/>
  <c r="X48" i="455"/>
  <c r="AF48" i="455"/>
  <c r="AI23" i="455"/>
  <c r="D47" i="455"/>
  <c r="L47" i="455"/>
  <c r="T47" i="455"/>
  <c r="AB47" i="455"/>
  <c r="C48" i="455"/>
  <c r="K48" i="455"/>
  <c r="S48" i="455"/>
  <c r="C114" i="455"/>
  <c r="G114" i="455"/>
  <c r="K114" i="455"/>
  <c r="O114" i="455"/>
  <c r="S114" i="455"/>
  <c r="W114" i="455"/>
  <c r="AA114" i="455"/>
  <c r="AE114" i="455"/>
  <c r="G47" i="455"/>
  <c r="O47" i="455"/>
  <c r="D48" i="455"/>
  <c r="L48" i="455"/>
  <c r="T48" i="455"/>
  <c r="AB48" i="455"/>
  <c r="Z47" i="455"/>
  <c r="AD47" i="455"/>
  <c r="Z48" i="455"/>
  <c r="AD48" i="455"/>
  <c r="AB6" i="31"/>
  <c r="AH60" i="454" l="1"/>
  <c r="AH60" i="452"/>
  <c r="AI60" i="450"/>
  <c r="AI62" i="450" s="1"/>
  <c r="AI60" i="453"/>
  <c r="AI62" i="453" s="1"/>
  <c r="AI60" i="446"/>
  <c r="AI62" i="446" s="1"/>
  <c r="AI60" i="451"/>
  <c r="AI62" i="451" s="1"/>
  <c r="AH60" i="449"/>
  <c r="AH62" i="449" s="1"/>
  <c r="AI60" i="444"/>
  <c r="AI62" i="444" s="1"/>
  <c r="AH60" i="447"/>
  <c r="AH62" i="447" s="1"/>
  <c r="AC48" i="454"/>
  <c r="AN51" i="455"/>
  <c r="AK51" i="455"/>
  <c r="AM51" i="454"/>
  <c r="AJ51" i="454"/>
  <c r="AN51" i="453"/>
  <c r="AK51" i="453"/>
  <c r="AM51" i="452"/>
  <c r="AJ51" i="452"/>
  <c r="AN51" i="451"/>
  <c r="AK51" i="451"/>
  <c r="AN51" i="450"/>
  <c r="AK51" i="450"/>
  <c r="AM51" i="449"/>
  <c r="AN51" i="448"/>
  <c r="AJ51" i="449"/>
  <c r="AK51" i="446"/>
  <c r="AM51" i="447"/>
  <c r="AJ51" i="447"/>
  <c r="AK51" i="445"/>
  <c r="AH51" i="445"/>
  <c r="AN51" i="446"/>
  <c r="AN51" i="444"/>
  <c r="AK51" i="448"/>
  <c r="AK51" i="444"/>
  <c r="V48" i="455"/>
  <c r="B48" i="455"/>
  <c r="D49" i="454"/>
  <c r="T48" i="454"/>
  <c r="D48" i="454"/>
  <c r="S48" i="454"/>
  <c r="Z48" i="454"/>
  <c r="Y48" i="454"/>
  <c r="C49" i="453"/>
  <c r="X48" i="451"/>
  <c r="Q48" i="449"/>
  <c r="R48" i="449"/>
  <c r="AI114" i="448"/>
  <c r="Q48" i="447"/>
  <c r="AI60" i="448"/>
  <c r="G10" i="445"/>
  <c r="F9" i="445"/>
  <c r="F12" i="445"/>
  <c r="AI60" i="455"/>
  <c r="P48" i="454"/>
  <c r="B49" i="454"/>
  <c r="D12" i="454"/>
  <c r="D9" i="454"/>
  <c r="E10" i="454"/>
  <c r="D9" i="453"/>
  <c r="D12" i="453"/>
  <c r="E10" i="453"/>
  <c r="I48" i="452"/>
  <c r="D12" i="452"/>
  <c r="D9" i="452"/>
  <c r="E10" i="452"/>
  <c r="T48" i="451"/>
  <c r="C49" i="444"/>
  <c r="AI114" i="446"/>
  <c r="F49" i="445"/>
  <c r="O48" i="455"/>
  <c r="AE48" i="454"/>
  <c r="O48" i="454"/>
  <c r="U48" i="454"/>
  <c r="E49" i="454"/>
  <c r="C49" i="455"/>
  <c r="N48" i="455"/>
  <c r="G48" i="455"/>
  <c r="U48" i="455"/>
  <c r="E48" i="455"/>
  <c r="D49" i="455" s="1"/>
  <c r="AB48" i="454"/>
  <c r="L48" i="454"/>
  <c r="AA48" i="454"/>
  <c r="R48" i="454"/>
  <c r="B48" i="454"/>
  <c r="Q48" i="454"/>
  <c r="AF48" i="453"/>
  <c r="P48" i="453"/>
  <c r="D49" i="453"/>
  <c r="B49" i="453"/>
  <c r="U48" i="451"/>
  <c r="N48" i="450"/>
  <c r="H48" i="451"/>
  <c r="AC48" i="450"/>
  <c r="M48" i="450"/>
  <c r="Z48" i="450"/>
  <c r="B48" i="449"/>
  <c r="B49" i="449"/>
  <c r="E12" i="449"/>
  <c r="E9" i="449"/>
  <c r="F10" i="449"/>
  <c r="M48" i="449"/>
  <c r="W48" i="448"/>
  <c r="G48" i="448"/>
  <c r="T48" i="446"/>
  <c r="D48" i="446"/>
  <c r="C49" i="446" s="1"/>
  <c r="AD48" i="448"/>
  <c r="N48" i="448"/>
  <c r="B49" i="448"/>
  <c r="F10" i="447"/>
  <c r="E9" i="447"/>
  <c r="E12" i="447"/>
  <c r="AE48" i="444"/>
  <c r="AA48" i="444"/>
  <c r="W48" i="444"/>
  <c r="S48" i="444"/>
  <c r="O48" i="444"/>
  <c r="K48" i="444"/>
  <c r="G48" i="444"/>
  <c r="C48" i="444"/>
  <c r="B49" i="444" s="1"/>
  <c r="AA48" i="446"/>
  <c r="W48" i="446"/>
  <c r="C48" i="446"/>
  <c r="B49" i="446" s="1"/>
  <c r="V48" i="445"/>
  <c r="F48" i="445"/>
  <c r="E49" i="445" s="1"/>
  <c r="B48" i="445"/>
  <c r="E12" i="444"/>
  <c r="F10" i="444"/>
  <c r="E9" i="444"/>
  <c r="D12" i="455"/>
  <c r="E10" i="455"/>
  <c r="E49" i="455" s="1"/>
  <c r="D9" i="455"/>
  <c r="X48" i="454"/>
  <c r="H48" i="454"/>
  <c r="W48" i="454"/>
  <c r="C49" i="454"/>
  <c r="M48" i="454"/>
  <c r="AH62" i="454"/>
  <c r="AI114" i="453"/>
  <c r="AH62" i="452"/>
  <c r="D49" i="452"/>
  <c r="B49" i="451"/>
  <c r="D9" i="451"/>
  <c r="D12" i="451"/>
  <c r="E10" i="451"/>
  <c r="D9" i="450"/>
  <c r="D12" i="450"/>
  <c r="E10" i="450"/>
  <c r="D48" i="451"/>
  <c r="C49" i="451" s="1"/>
  <c r="E49" i="450"/>
  <c r="AF114" i="445"/>
  <c r="D9" i="448"/>
  <c r="D12" i="448"/>
  <c r="E10" i="448"/>
  <c r="D49" i="448"/>
  <c r="AF60" i="445"/>
  <c r="D9" i="446"/>
  <c r="D12" i="446"/>
  <c r="E10" i="446"/>
  <c r="E34" i="1"/>
  <c r="AF62" i="445" l="1"/>
  <c r="E12" i="448"/>
  <c r="F10" i="448"/>
  <c r="E9" i="448"/>
  <c r="E49" i="448"/>
  <c r="E12" i="450"/>
  <c r="F10" i="450"/>
  <c r="E9" i="450"/>
  <c r="E12" i="451"/>
  <c r="F10" i="451"/>
  <c r="E9" i="451"/>
  <c r="AI62" i="455"/>
  <c r="G10" i="447"/>
  <c r="F12" i="447"/>
  <c r="F9" i="447"/>
  <c r="F49" i="447"/>
  <c r="AI62" i="448"/>
  <c r="E12" i="446"/>
  <c r="F10" i="446"/>
  <c r="E9" i="446"/>
  <c r="E49" i="446"/>
  <c r="E12" i="455"/>
  <c r="F10" i="455"/>
  <c r="E9" i="455"/>
  <c r="F12" i="444"/>
  <c r="F9" i="444"/>
  <c r="G10" i="444"/>
  <c r="F49" i="444"/>
  <c r="F10" i="452"/>
  <c r="E12" i="452"/>
  <c r="E9" i="452"/>
  <c r="E49" i="452"/>
  <c r="E9" i="453"/>
  <c r="E12" i="453"/>
  <c r="F10" i="453"/>
  <c r="E49" i="453"/>
  <c r="F10" i="454"/>
  <c r="E12" i="454"/>
  <c r="E9" i="454"/>
  <c r="H10" i="445"/>
  <c r="G9" i="445"/>
  <c r="G12" i="445"/>
  <c r="G49" i="445"/>
  <c r="E49" i="451"/>
  <c r="G10" i="449"/>
  <c r="F12" i="449"/>
  <c r="F9" i="449"/>
  <c r="F49" i="449"/>
  <c r="AC4" i="15"/>
  <c r="H10" i="449" l="1"/>
  <c r="G12" i="449"/>
  <c r="G9" i="449"/>
  <c r="G49" i="449"/>
  <c r="G9" i="444"/>
  <c r="H10" i="444"/>
  <c r="G12" i="444"/>
  <c r="G49" i="444"/>
  <c r="G12" i="447"/>
  <c r="G9" i="447"/>
  <c r="H10" i="447"/>
  <c r="G49" i="447"/>
  <c r="F9" i="450"/>
  <c r="F12" i="450"/>
  <c r="G10" i="450"/>
  <c r="F49" i="450"/>
  <c r="H12" i="445"/>
  <c r="I10" i="445"/>
  <c r="H9" i="445"/>
  <c r="H49" i="445"/>
  <c r="G10" i="454"/>
  <c r="F12" i="454"/>
  <c r="F9" i="454"/>
  <c r="F49" i="454"/>
  <c r="G10" i="452"/>
  <c r="F12" i="452"/>
  <c r="F9" i="452"/>
  <c r="F49" i="452"/>
  <c r="F12" i="451"/>
  <c r="G10" i="451"/>
  <c r="F9" i="451"/>
  <c r="F49" i="451"/>
  <c r="F12" i="453"/>
  <c r="G10" i="453"/>
  <c r="F9" i="453"/>
  <c r="F49" i="453"/>
  <c r="F12" i="455"/>
  <c r="G10" i="455"/>
  <c r="F9" i="455"/>
  <c r="F49" i="455"/>
  <c r="F9" i="446"/>
  <c r="G10" i="446"/>
  <c r="F12" i="446"/>
  <c r="F49" i="446"/>
  <c r="F9" i="448"/>
  <c r="F12" i="448"/>
  <c r="G10" i="448"/>
  <c r="F49" i="448"/>
  <c r="G9" i="455" l="1"/>
  <c r="G12" i="455"/>
  <c r="H10" i="455"/>
  <c r="G49" i="455"/>
  <c r="I12" i="445"/>
  <c r="J10" i="445"/>
  <c r="I9" i="445"/>
  <c r="I49" i="445"/>
  <c r="G9" i="446"/>
  <c r="H10" i="446"/>
  <c r="G12" i="446"/>
  <c r="G49" i="446"/>
  <c r="G12" i="454"/>
  <c r="G9" i="454"/>
  <c r="H10" i="454"/>
  <c r="G49" i="454"/>
  <c r="G12" i="452"/>
  <c r="G9" i="452"/>
  <c r="H10" i="452"/>
  <c r="G49" i="452"/>
  <c r="G49" i="450"/>
  <c r="G9" i="450"/>
  <c r="G12" i="450"/>
  <c r="H10" i="450"/>
  <c r="H12" i="447"/>
  <c r="H9" i="447"/>
  <c r="I10" i="447"/>
  <c r="H49" i="447"/>
  <c r="H9" i="444"/>
  <c r="H12" i="444"/>
  <c r="I10" i="444"/>
  <c r="H49" i="444"/>
  <c r="H12" i="449"/>
  <c r="H9" i="449"/>
  <c r="I10" i="449"/>
  <c r="H49" i="449"/>
  <c r="G9" i="448"/>
  <c r="G12" i="448"/>
  <c r="H10" i="448"/>
  <c r="G49" i="448"/>
  <c r="G9" i="453"/>
  <c r="G12" i="453"/>
  <c r="H10" i="453"/>
  <c r="G49" i="453"/>
  <c r="G9" i="451"/>
  <c r="G12" i="451"/>
  <c r="H10" i="451"/>
  <c r="G49" i="451"/>
  <c r="H9" i="451" l="1"/>
  <c r="H12" i="451"/>
  <c r="I10" i="451"/>
  <c r="H49" i="451"/>
  <c r="H12" i="454"/>
  <c r="H9" i="454"/>
  <c r="I10" i="454"/>
  <c r="H49" i="454"/>
  <c r="K10" i="445"/>
  <c r="J9" i="445"/>
  <c r="J12" i="445"/>
  <c r="J49" i="445"/>
  <c r="I12" i="449"/>
  <c r="I9" i="449"/>
  <c r="J10" i="449"/>
  <c r="I49" i="449"/>
  <c r="I12" i="444"/>
  <c r="J10" i="444"/>
  <c r="I49" i="444"/>
  <c r="I9" i="444"/>
  <c r="H9" i="448"/>
  <c r="H12" i="448"/>
  <c r="I10" i="448"/>
  <c r="H49" i="448"/>
  <c r="H9" i="450"/>
  <c r="H12" i="450"/>
  <c r="I10" i="450"/>
  <c r="H49" i="450"/>
  <c r="H12" i="452"/>
  <c r="H9" i="452"/>
  <c r="I10" i="452"/>
  <c r="H49" i="452"/>
  <c r="H9" i="446"/>
  <c r="H12" i="446"/>
  <c r="I10" i="446"/>
  <c r="H49" i="446"/>
  <c r="H12" i="455"/>
  <c r="I10" i="455"/>
  <c r="H9" i="455"/>
  <c r="H49" i="455"/>
  <c r="H9" i="453"/>
  <c r="H12" i="453"/>
  <c r="I10" i="453"/>
  <c r="H49" i="453"/>
  <c r="J10" i="447"/>
  <c r="I9" i="447"/>
  <c r="I12" i="447"/>
  <c r="I49" i="447"/>
  <c r="I12" i="455" l="1"/>
  <c r="J10" i="455"/>
  <c r="I9" i="455"/>
  <c r="I49" i="455"/>
  <c r="J10" i="452"/>
  <c r="I12" i="452"/>
  <c r="I9" i="452"/>
  <c r="I49" i="452"/>
  <c r="I12" i="450"/>
  <c r="J10" i="450"/>
  <c r="I9" i="450"/>
  <c r="I49" i="450"/>
  <c r="K10" i="444"/>
  <c r="J9" i="444"/>
  <c r="J12" i="444"/>
  <c r="J49" i="444"/>
  <c r="K10" i="449"/>
  <c r="J12" i="449"/>
  <c r="J9" i="449"/>
  <c r="J49" i="449"/>
  <c r="I12" i="446"/>
  <c r="J10" i="446"/>
  <c r="I9" i="446"/>
  <c r="I49" i="446"/>
  <c r="I9" i="451"/>
  <c r="I12" i="451"/>
  <c r="J10" i="451"/>
  <c r="I49" i="451"/>
  <c r="K10" i="447"/>
  <c r="J12" i="447"/>
  <c r="J9" i="447"/>
  <c r="J49" i="447"/>
  <c r="I9" i="453"/>
  <c r="I12" i="453"/>
  <c r="J10" i="453"/>
  <c r="I49" i="453"/>
  <c r="I12" i="448"/>
  <c r="J10" i="448"/>
  <c r="I9" i="448"/>
  <c r="I49" i="448"/>
  <c r="L10" i="445"/>
  <c r="K9" i="445"/>
  <c r="K12" i="445"/>
  <c r="K49" i="445"/>
  <c r="J10" i="454"/>
  <c r="I12" i="454"/>
  <c r="I9" i="454"/>
  <c r="I49" i="454"/>
  <c r="D24" i="1"/>
  <c r="D23" i="1"/>
  <c r="D22" i="1"/>
  <c r="D21" i="1"/>
  <c r="D20" i="1"/>
  <c r="D19" i="1"/>
  <c r="D18" i="1"/>
  <c r="D17" i="1"/>
  <c r="D16" i="1"/>
  <c r="D15" i="1"/>
  <c r="D14" i="1"/>
  <c r="D13" i="1"/>
  <c r="K12" i="447" l="1"/>
  <c r="K9" i="447"/>
  <c r="L10" i="447"/>
  <c r="K49" i="447"/>
  <c r="L12" i="445"/>
  <c r="M10" i="445"/>
  <c r="L9" i="445"/>
  <c r="L49" i="445"/>
  <c r="J9" i="448"/>
  <c r="K10" i="448"/>
  <c r="J12" i="448"/>
  <c r="J49" i="448"/>
  <c r="J12" i="451"/>
  <c r="K10" i="451"/>
  <c r="J9" i="451"/>
  <c r="J49" i="451"/>
  <c r="K49" i="449"/>
  <c r="L10" i="449"/>
  <c r="K12" i="449"/>
  <c r="K9" i="449"/>
  <c r="K9" i="444"/>
  <c r="K12" i="444"/>
  <c r="L10" i="444"/>
  <c r="K49" i="444"/>
  <c r="K10" i="452"/>
  <c r="J12" i="452"/>
  <c r="J9" i="452"/>
  <c r="J49" i="452"/>
  <c r="J12" i="453"/>
  <c r="K10" i="453"/>
  <c r="J9" i="453"/>
  <c r="J49" i="453"/>
  <c r="J12" i="446"/>
  <c r="J9" i="446"/>
  <c r="K10" i="446"/>
  <c r="J49" i="446"/>
  <c r="K10" i="454"/>
  <c r="J12" i="454"/>
  <c r="J9" i="454"/>
  <c r="J49" i="454"/>
  <c r="J9" i="450"/>
  <c r="J12" i="450"/>
  <c r="K10" i="450"/>
  <c r="J49" i="450"/>
  <c r="J12" i="455"/>
  <c r="J9" i="455"/>
  <c r="K10" i="455"/>
  <c r="J49" i="455"/>
  <c r="K9" i="446" l="1"/>
  <c r="K12" i="446"/>
  <c r="L10" i="446"/>
  <c r="K49" i="446"/>
  <c r="L9" i="444"/>
  <c r="L12" i="444"/>
  <c r="M10" i="444"/>
  <c r="L49" i="444"/>
  <c r="L12" i="449"/>
  <c r="L9" i="449"/>
  <c r="M10" i="449"/>
  <c r="L49" i="449"/>
  <c r="K9" i="455"/>
  <c r="K12" i="455"/>
  <c r="L10" i="455"/>
  <c r="K49" i="455"/>
  <c r="K49" i="450"/>
  <c r="K9" i="450"/>
  <c r="K12" i="450"/>
  <c r="L10" i="450"/>
  <c r="K12" i="454"/>
  <c r="K9" i="454"/>
  <c r="L10" i="454"/>
  <c r="K49" i="454"/>
  <c r="K9" i="453"/>
  <c r="K12" i="453"/>
  <c r="L10" i="453"/>
  <c r="K49" i="453"/>
  <c r="K9" i="448"/>
  <c r="K12" i="448"/>
  <c r="L10" i="448"/>
  <c r="K49" i="448"/>
  <c r="L12" i="447"/>
  <c r="L9" i="447"/>
  <c r="M10" i="447"/>
  <c r="L49" i="447"/>
  <c r="K12" i="452"/>
  <c r="K9" i="452"/>
  <c r="L10" i="452"/>
  <c r="K49" i="452"/>
  <c r="M12" i="445"/>
  <c r="N10" i="445"/>
  <c r="M9" i="445"/>
  <c r="M49" i="445"/>
  <c r="K9" i="451"/>
  <c r="K12" i="451"/>
  <c r="L10" i="451"/>
  <c r="K49" i="451"/>
  <c r="J18" i="31"/>
  <c r="L9" i="451" l="1"/>
  <c r="L12" i="451"/>
  <c r="M10" i="451"/>
  <c r="L49" i="451"/>
  <c r="O10" i="445"/>
  <c r="N9" i="445"/>
  <c r="N12" i="445"/>
  <c r="N49" i="445"/>
  <c r="L9" i="453"/>
  <c r="L12" i="453"/>
  <c r="M10" i="453"/>
  <c r="L49" i="453"/>
  <c r="M12" i="449"/>
  <c r="M9" i="449"/>
  <c r="N10" i="449"/>
  <c r="M49" i="449"/>
  <c r="M12" i="444"/>
  <c r="N10" i="444"/>
  <c r="M9" i="444"/>
  <c r="M49" i="444"/>
  <c r="L9" i="448"/>
  <c r="L12" i="448"/>
  <c r="M10" i="448"/>
  <c r="L49" i="448"/>
  <c r="L9" i="450"/>
  <c r="L12" i="450"/>
  <c r="M10" i="450"/>
  <c r="L49" i="450"/>
  <c r="L12" i="455"/>
  <c r="M10" i="455"/>
  <c r="L9" i="455"/>
  <c r="L49" i="455"/>
  <c r="N10" i="447"/>
  <c r="M9" i="447"/>
  <c r="M12" i="447"/>
  <c r="M49" i="447"/>
  <c r="L9" i="446"/>
  <c r="L12" i="446"/>
  <c r="M10" i="446"/>
  <c r="L49" i="446"/>
  <c r="L12" i="452"/>
  <c r="L9" i="452"/>
  <c r="M10" i="452"/>
  <c r="L49" i="452"/>
  <c r="L12" i="454"/>
  <c r="L9" i="454"/>
  <c r="M10" i="454"/>
  <c r="L49" i="454"/>
  <c r="AH4" i="15"/>
  <c r="AH3" i="15"/>
  <c r="AH2" i="15"/>
  <c r="AC3" i="15"/>
  <c r="AC2" i="15"/>
  <c r="N10" i="452" l="1"/>
  <c r="M12" i="452"/>
  <c r="M9" i="452"/>
  <c r="M49" i="452"/>
  <c r="M12" i="446"/>
  <c r="N10" i="446"/>
  <c r="M9" i="446"/>
  <c r="M49" i="446"/>
  <c r="M9" i="453"/>
  <c r="M12" i="453"/>
  <c r="N10" i="453"/>
  <c r="M49" i="453"/>
  <c r="N10" i="454"/>
  <c r="M12" i="454"/>
  <c r="M9" i="454"/>
  <c r="M49" i="454"/>
  <c r="O10" i="447"/>
  <c r="N12" i="447"/>
  <c r="N9" i="447"/>
  <c r="N49" i="447"/>
  <c r="M12" i="450"/>
  <c r="N10" i="450"/>
  <c r="M9" i="450"/>
  <c r="M49" i="450"/>
  <c r="N12" i="444"/>
  <c r="N9" i="444"/>
  <c r="O10" i="444"/>
  <c r="N49" i="444"/>
  <c r="O10" i="449"/>
  <c r="N12" i="449"/>
  <c r="N9" i="449"/>
  <c r="N49" i="449"/>
  <c r="P10" i="445"/>
  <c r="O9" i="445"/>
  <c r="O12" i="445"/>
  <c r="O49" i="445"/>
  <c r="M12" i="455"/>
  <c r="N10" i="455"/>
  <c r="M9" i="455"/>
  <c r="M49" i="455"/>
  <c r="M12" i="448"/>
  <c r="N10" i="448"/>
  <c r="M9" i="448"/>
  <c r="M49" i="448"/>
  <c r="M9" i="451"/>
  <c r="M12" i="451"/>
  <c r="N10" i="451"/>
  <c r="M49" i="451"/>
  <c r="AD2" i="31"/>
  <c r="AB5" i="31"/>
  <c r="S2" i="31"/>
  <c r="AM1" i="15"/>
  <c r="AN1" i="15"/>
  <c r="A7" i="1"/>
  <c r="K2" i="31"/>
  <c r="M11" i="454" s="1"/>
  <c r="M54" i="454" s="1"/>
  <c r="L2" i="28"/>
  <c r="O31" i="1"/>
  <c r="AH1" i="28"/>
  <c r="AG1" i="28"/>
  <c r="U1" i="27"/>
  <c r="T1" i="27"/>
  <c r="F11" i="1"/>
  <c r="Y3" i="31"/>
  <c r="P4" i="31"/>
  <c r="O4" i="31"/>
  <c r="X13" i="15"/>
  <c r="AB4" i="31"/>
  <c r="AB3" i="31"/>
  <c r="Q2" i="31"/>
  <c r="AE4" i="31"/>
  <c r="AG3" i="31" s="1"/>
  <c r="AE3" i="31"/>
  <c r="AG6" i="31" s="1"/>
  <c r="C1" i="28"/>
  <c r="H13" i="1"/>
  <c r="H29" i="1"/>
  <c r="E1" i="28"/>
  <c r="E1" i="27"/>
  <c r="B1" i="27"/>
  <c r="C1" i="15"/>
  <c r="F4" i="1"/>
  <c r="E10" i="1" s="1"/>
  <c r="E25" i="1" s="1"/>
  <c r="W2" i="31"/>
  <c r="J10" i="31"/>
  <c r="J5" i="31"/>
  <c r="C5" i="15"/>
  <c r="E5" i="28"/>
  <c r="E5" i="27"/>
  <c r="E2" i="27"/>
  <c r="E2" i="28"/>
  <c r="H2" i="31"/>
  <c r="AG9" i="28"/>
  <c r="B7" i="28"/>
  <c r="B6" i="28"/>
  <c r="B5" i="28"/>
  <c r="B7" i="27"/>
  <c r="B6" i="27"/>
  <c r="B5" i="27"/>
  <c r="A7" i="15"/>
  <c r="A6" i="15"/>
  <c r="A5" i="15"/>
  <c r="E9" i="28"/>
  <c r="G9" i="28"/>
  <c r="I9" i="28"/>
  <c r="K9" i="28"/>
  <c r="M9" i="28"/>
  <c r="O9" i="28"/>
  <c r="Q9" i="28"/>
  <c r="S9" i="28"/>
  <c r="U9" i="28"/>
  <c r="W9" i="28"/>
  <c r="Y9" i="28"/>
  <c r="AA9" i="28"/>
  <c r="AC9" i="28"/>
  <c r="AE9" i="28"/>
  <c r="C2" i="15"/>
  <c r="U2" i="31"/>
  <c r="E7" i="28"/>
  <c r="E6" i="28"/>
  <c r="E4" i="28"/>
  <c r="E3" i="28"/>
  <c r="E7" i="27"/>
  <c r="E6" i="27"/>
  <c r="E4" i="27"/>
  <c r="E3" i="27"/>
  <c r="C7" i="15"/>
  <c r="C6" i="15"/>
  <c r="C4" i="15"/>
  <c r="C3" i="15"/>
  <c r="M2" i="31"/>
  <c r="F2" i="31"/>
  <c r="D2" i="31"/>
  <c r="B2" i="31"/>
  <c r="A14" i="28"/>
  <c r="O33" i="1"/>
  <c r="AC13" i="15" s="1"/>
  <c r="A13" i="28"/>
  <c r="A12" i="28"/>
  <c r="A11" i="28"/>
  <c r="B4" i="28"/>
  <c r="B3" i="28"/>
  <c r="B2" i="28"/>
  <c r="B2" i="27"/>
  <c r="B3" i="27"/>
  <c r="B4" i="27"/>
  <c r="I1" i="15"/>
  <c r="A2" i="15"/>
  <c r="A3" i="15"/>
  <c r="A4" i="15"/>
  <c r="AM12" i="15"/>
  <c r="F13" i="1"/>
  <c r="F14" i="1"/>
  <c r="F15" i="1"/>
  <c r="F16" i="1"/>
  <c r="F17" i="1"/>
  <c r="F18" i="1"/>
  <c r="F19" i="1"/>
  <c r="F20" i="1"/>
  <c r="F21" i="1"/>
  <c r="F22" i="1"/>
  <c r="F23" i="1"/>
  <c r="F24" i="1"/>
  <c r="O13" i="15"/>
  <c r="O29" i="1"/>
  <c r="M13" i="15"/>
  <c r="O30" i="1"/>
  <c r="E32" i="1"/>
  <c r="O32" i="1"/>
  <c r="AM13" i="15" s="1"/>
  <c r="A18" i="28"/>
  <c r="A12" i="27"/>
  <c r="A16" i="15"/>
  <c r="A23" i="28"/>
  <c r="A17" i="27"/>
  <c r="A21" i="15"/>
  <c r="A27" i="28"/>
  <c r="A21" i="27"/>
  <c r="A25" i="15"/>
  <c r="A19" i="28"/>
  <c r="A13" i="27"/>
  <c r="A17" i="15"/>
  <c r="A20" i="28"/>
  <c r="A14" i="27"/>
  <c r="A18" i="15"/>
  <c r="A24" i="28"/>
  <c r="A18" i="27"/>
  <c r="A22" i="15"/>
  <c r="A28" i="28"/>
  <c r="A22" i="27"/>
  <c r="A26" i="15"/>
  <c r="A21" i="28"/>
  <c r="A15" i="27"/>
  <c r="A19" i="15"/>
  <c r="A25" i="28"/>
  <c r="A19" i="27"/>
  <c r="A23" i="15"/>
  <c r="A17" i="28"/>
  <c r="A11" i="27"/>
  <c r="A15" i="15"/>
  <c r="A22" i="28"/>
  <c r="A16" i="27"/>
  <c r="A20" i="15"/>
  <c r="A26" i="28"/>
  <c r="A20" i="27"/>
  <c r="A24" i="15"/>
  <c r="AD80" i="455" l="1"/>
  <c r="Z80" i="455"/>
  <c r="V80" i="455"/>
  <c r="R80" i="455"/>
  <c r="N80" i="455"/>
  <c r="J80" i="455"/>
  <c r="F80" i="455"/>
  <c r="B80" i="455"/>
  <c r="AB80" i="455"/>
  <c r="W80" i="455"/>
  <c r="Q80" i="455"/>
  <c r="L80" i="455"/>
  <c r="G80" i="455"/>
  <c r="AF80" i="455"/>
  <c r="AA80" i="455"/>
  <c r="U80" i="455"/>
  <c r="P80" i="455"/>
  <c r="K80" i="455"/>
  <c r="E80" i="455"/>
  <c r="AE80" i="455"/>
  <c r="Y80" i="455"/>
  <c r="T80" i="455"/>
  <c r="O80" i="455"/>
  <c r="I80" i="455"/>
  <c r="D80" i="455"/>
  <c r="AC80" i="455"/>
  <c r="X80" i="455"/>
  <c r="S80" i="455"/>
  <c r="M80" i="455"/>
  <c r="H80" i="455"/>
  <c r="C80" i="455"/>
  <c r="AC80" i="454"/>
  <c r="Y80" i="454"/>
  <c r="U80" i="454"/>
  <c r="Q80" i="454"/>
  <c r="M80" i="454"/>
  <c r="I80" i="454"/>
  <c r="E80" i="454"/>
  <c r="AB80" i="454"/>
  <c r="X80" i="454"/>
  <c r="T80" i="454"/>
  <c r="P80" i="454"/>
  <c r="L80" i="454"/>
  <c r="H80" i="454"/>
  <c r="D80" i="454"/>
  <c r="AE80" i="454"/>
  <c r="AA80" i="454"/>
  <c r="W80" i="454"/>
  <c r="S80" i="454"/>
  <c r="O80" i="454"/>
  <c r="K80" i="454"/>
  <c r="G80" i="454"/>
  <c r="C80" i="454"/>
  <c r="AD80" i="454"/>
  <c r="Z80" i="454"/>
  <c r="V80" i="454"/>
  <c r="R80" i="454"/>
  <c r="N80" i="454"/>
  <c r="J80" i="454"/>
  <c r="F80" i="454"/>
  <c r="B80" i="454"/>
  <c r="AH80" i="454" s="1"/>
  <c r="AD80" i="453"/>
  <c r="Z80" i="453"/>
  <c r="V80" i="453"/>
  <c r="R80" i="453"/>
  <c r="N80" i="453"/>
  <c r="J80" i="453"/>
  <c r="F80" i="453"/>
  <c r="B80" i="453"/>
  <c r="AB80" i="453"/>
  <c r="W80" i="453"/>
  <c r="Q80" i="453"/>
  <c r="L80" i="453"/>
  <c r="G80" i="453"/>
  <c r="AF80" i="453"/>
  <c r="AA80" i="453"/>
  <c r="U80" i="453"/>
  <c r="P80" i="453"/>
  <c r="K80" i="453"/>
  <c r="E80" i="453"/>
  <c r="AE80" i="453"/>
  <c r="Y80" i="453"/>
  <c r="T80" i="453"/>
  <c r="O80" i="453"/>
  <c r="I80" i="453"/>
  <c r="D80" i="453"/>
  <c r="AC80" i="453"/>
  <c r="X80" i="453"/>
  <c r="S80" i="453"/>
  <c r="M80" i="453"/>
  <c r="H80" i="453"/>
  <c r="C80" i="453"/>
  <c r="AE80" i="452"/>
  <c r="AA80" i="452"/>
  <c r="W80" i="452"/>
  <c r="S80" i="452"/>
  <c r="O80" i="452"/>
  <c r="K80" i="452"/>
  <c r="G80" i="452"/>
  <c r="C80" i="452"/>
  <c r="AD80" i="452"/>
  <c r="Z80" i="452"/>
  <c r="V80" i="452"/>
  <c r="R80" i="452"/>
  <c r="N80" i="452"/>
  <c r="J80" i="452"/>
  <c r="F80" i="452"/>
  <c r="B80" i="452"/>
  <c r="AC80" i="452"/>
  <c r="Y80" i="452"/>
  <c r="U80" i="452"/>
  <c r="Q80" i="452"/>
  <c r="M80" i="452"/>
  <c r="I80" i="452"/>
  <c r="E80" i="452"/>
  <c r="AB80" i="452"/>
  <c r="L80" i="452"/>
  <c r="AC80" i="451"/>
  <c r="Y80" i="451"/>
  <c r="U80" i="451"/>
  <c r="Q80" i="451"/>
  <c r="M80" i="451"/>
  <c r="I80" i="451"/>
  <c r="E80" i="451"/>
  <c r="X80" i="452"/>
  <c r="H80" i="452"/>
  <c r="AF80" i="451"/>
  <c r="AB80" i="451"/>
  <c r="X80" i="451"/>
  <c r="T80" i="451"/>
  <c r="P80" i="451"/>
  <c r="L80" i="451"/>
  <c r="H80" i="451"/>
  <c r="D80" i="451"/>
  <c r="T80" i="452"/>
  <c r="D80" i="452"/>
  <c r="P80" i="452"/>
  <c r="AD80" i="451"/>
  <c r="Z80" i="451"/>
  <c r="V80" i="451"/>
  <c r="R80" i="451"/>
  <c r="N80" i="451"/>
  <c r="J80" i="451"/>
  <c r="F80" i="451"/>
  <c r="B80" i="451"/>
  <c r="AA80" i="451"/>
  <c r="K80" i="451"/>
  <c r="W80" i="451"/>
  <c r="G80" i="451"/>
  <c r="AC80" i="450"/>
  <c r="Y80" i="450"/>
  <c r="U80" i="450"/>
  <c r="Q80" i="450"/>
  <c r="M80" i="450"/>
  <c r="I80" i="450"/>
  <c r="E80" i="450"/>
  <c r="S80" i="451"/>
  <c r="C80" i="451"/>
  <c r="AF80" i="450"/>
  <c r="AB80" i="450"/>
  <c r="X80" i="450"/>
  <c r="T80" i="450"/>
  <c r="P80" i="450"/>
  <c r="L80" i="450"/>
  <c r="H80" i="450"/>
  <c r="D80" i="450"/>
  <c r="AE80" i="451"/>
  <c r="O80" i="451"/>
  <c r="AE80" i="450"/>
  <c r="AA80" i="450"/>
  <c r="W80" i="450"/>
  <c r="S80" i="450"/>
  <c r="O80" i="450"/>
  <c r="K80" i="450"/>
  <c r="G80" i="450"/>
  <c r="C80" i="450"/>
  <c r="R80" i="450"/>
  <c r="B80" i="450"/>
  <c r="AD80" i="450"/>
  <c r="N80" i="450"/>
  <c r="AD80" i="449"/>
  <c r="Z80" i="449"/>
  <c r="V80" i="449"/>
  <c r="R80" i="449"/>
  <c r="N80" i="449"/>
  <c r="J80" i="449"/>
  <c r="F80" i="449"/>
  <c r="B80" i="449"/>
  <c r="Z80" i="450"/>
  <c r="J80" i="450"/>
  <c r="AC80" i="449"/>
  <c r="Y80" i="449"/>
  <c r="U80" i="449"/>
  <c r="Q80" i="449"/>
  <c r="M80" i="449"/>
  <c r="I80" i="449"/>
  <c r="E80" i="449"/>
  <c r="V80" i="450"/>
  <c r="F80" i="450"/>
  <c r="AB80" i="449"/>
  <c r="X80" i="449"/>
  <c r="T80" i="449"/>
  <c r="P80" i="449"/>
  <c r="L80" i="449"/>
  <c r="H80" i="449"/>
  <c r="D80" i="449"/>
  <c r="S80" i="449"/>
  <c r="C80" i="449"/>
  <c r="AD80" i="448"/>
  <c r="Z80" i="448"/>
  <c r="V80" i="448"/>
  <c r="R80" i="448"/>
  <c r="N80" i="448"/>
  <c r="J80" i="448"/>
  <c r="F80" i="448"/>
  <c r="B80" i="448"/>
  <c r="AE80" i="449"/>
  <c r="O80" i="449"/>
  <c r="AD51" i="449"/>
  <c r="AC80" i="448"/>
  <c r="Y80" i="448"/>
  <c r="U80" i="448"/>
  <c r="Q80" i="448"/>
  <c r="M80" i="448"/>
  <c r="I80" i="448"/>
  <c r="E80" i="448"/>
  <c r="AA80" i="449"/>
  <c r="K80" i="449"/>
  <c r="AF80" i="448"/>
  <c r="AB80" i="448"/>
  <c r="X80" i="448"/>
  <c r="T80" i="448"/>
  <c r="P80" i="448"/>
  <c r="L80" i="448"/>
  <c r="H80" i="448"/>
  <c r="D80" i="448"/>
  <c r="W80" i="449"/>
  <c r="G80" i="449"/>
  <c r="AE80" i="448"/>
  <c r="AA80" i="448"/>
  <c r="W80" i="448"/>
  <c r="S80" i="448"/>
  <c r="O80" i="448"/>
  <c r="K80" i="448"/>
  <c r="G80" i="448"/>
  <c r="C80" i="448"/>
  <c r="AE80" i="447"/>
  <c r="AA80" i="447"/>
  <c r="W80" i="447"/>
  <c r="S80" i="447"/>
  <c r="O80" i="447"/>
  <c r="K80" i="447"/>
  <c r="G80" i="447"/>
  <c r="C80" i="447"/>
  <c r="AC80" i="446"/>
  <c r="Y80" i="446"/>
  <c r="U80" i="446"/>
  <c r="Q80" i="446"/>
  <c r="M80" i="446"/>
  <c r="I80" i="446"/>
  <c r="E80" i="446"/>
  <c r="AD80" i="447"/>
  <c r="Z80" i="447"/>
  <c r="V80" i="447"/>
  <c r="R80" i="447"/>
  <c r="N80" i="447"/>
  <c r="J80" i="447"/>
  <c r="F80" i="447"/>
  <c r="B80" i="447"/>
  <c r="AF80" i="446"/>
  <c r="AB80" i="446"/>
  <c r="X80" i="446"/>
  <c r="T80" i="446"/>
  <c r="P80" i="446"/>
  <c r="L80" i="446"/>
  <c r="H80" i="446"/>
  <c r="D80" i="446"/>
  <c r="AC80" i="447"/>
  <c r="Y80" i="447"/>
  <c r="U80" i="447"/>
  <c r="Q80" i="447"/>
  <c r="M80" i="447"/>
  <c r="I80" i="447"/>
  <c r="E80" i="447"/>
  <c r="AE80" i="446"/>
  <c r="AA80" i="446"/>
  <c r="W80" i="446"/>
  <c r="S80" i="446"/>
  <c r="O80" i="446"/>
  <c r="K80" i="446"/>
  <c r="G80" i="446"/>
  <c r="C80" i="446"/>
  <c r="O51" i="448"/>
  <c r="X80" i="447"/>
  <c r="H80" i="447"/>
  <c r="V51" i="447"/>
  <c r="F51" i="447"/>
  <c r="V80" i="446"/>
  <c r="F80" i="446"/>
  <c r="T51" i="446"/>
  <c r="D51" i="446"/>
  <c r="AB80" i="445"/>
  <c r="X80" i="445"/>
  <c r="T80" i="445"/>
  <c r="P80" i="445"/>
  <c r="L80" i="445"/>
  <c r="H80" i="445"/>
  <c r="D80" i="445"/>
  <c r="AF80" i="444"/>
  <c r="AB80" i="444"/>
  <c r="X80" i="444"/>
  <c r="T80" i="444"/>
  <c r="P80" i="444"/>
  <c r="L80" i="444"/>
  <c r="H80" i="444"/>
  <c r="D80" i="444"/>
  <c r="AB51" i="448"/>
  <c r="K51" i="448"/>
  <c r="T80" i="447"/>
  <c r="D80" i="447"/>
  <c r="R51" i="447"/>
  <c r="B51" i="447"/>
  <c r="R80" i="446"/>
  <c r="B80" i="446"/>
  <c r="AF51" i="446"/>
  <c r="P51" i="446"/>
  <c r="AA80" i="445"/>
  <c r="W80" i="445"/>
  <c r="S80" i="445"/>
  <c r="O80" i="445"/>
  <c r="K80" i="445"/>
  <c r="G80" i="445"/>
  <c r="C80" i="445"/>
  <c r="AE80" i="444"/>
  <c r="AA80" i="444"/>
  <c r="W80" i="444"/>
  <c r="S80" i="444"/>
  <c r="O80" i="444"/>
  <c r="K80" i="444"/>
  <c r="G80" i="444"/>
  <c r="C80" i="444"/>
  <c r="V80" i="444"/>
  <c r="J80" i="444"/>
  <c r="B80" i="444"/>
  <c r="W51" i="448"/>
  <c r="G51" i="448"/>
  <c r="P80" i="447"/>
  <c r="AD51" i="447"/>
  <c r="N51" i="447"/>
  <c r="AD80" i="446"/>
  <c r="N80" i="446"/>
  <c r="AB51" i="446"/>
  <c r="L51" i="446"/>
  <c r="Z80" i="445"/>
  <c r="V80" i="445"/>
  <c r="R80" i="445"/>
  <c r="N80" i="445"/>
  <c r="J80" i="445"/>
  <c r="F80" i="445"/>
  <c r="B80" i="445"/>
  <c r="AD80" i="444"/>
  <c r="Z80" i="444"/>
  <c r="R80" i="444"/>
  <c r="N80" i="444"/>
  <c r="F80" i="444"/>
  <c r="S51" i="448"/>
  <c r="L80" i="447"/>
  <c r="J80" i="446"/>
  <c r="H51" i="446"/>
  <c r="Q80" i="445"/>
  <c r="W51" i="445"/>
  <c r="G51" i="445"/>
  <c r="Y80" i="444"/>
  <c r="I80" i="444"/>
  <c r="AF51" i="444"/>
  <c r="X51" i="444"/>
  <c r="P51" i="444"/>
  <c r="H51" i="444"/>
  <c r="K51" i="444"/>
  <c r="C51" i="448"/>
  <c r="Z51" i="447"/>
  <c r="AC80" i="445"/>
  <c r="M80" i="445"/>
  <c r="S51" i="445"/>
  <c r="C51" i="445"/>
  <c r="U80" i="444"/>
  <c r="E80" i="444"/>
  <c r="C51" i="444"/>
  <c r="J51" i="447"/>
  <c r="Y80" i="445"/>
  <c r="I80" i="445"/>
  <c r="O51" i="445"/>
  <c r="Q80" i="444"/>
  <c r="AB51" i="444"/>
  <c r="T51" i="444"/>
  <c r="L51" i="444"/>
  <c r="D51" i="444"/>
  <c r="S51" i="444"/>
  <c r="AB80" i="447"/>
  <c r="Z80" i="446"/>
  <c r="X51" i="446"/>
  <c r="U80" i="445"/>
  <c r="E80" i="445"/>
  <c r="AA51" i="445"/>
  <c r="K51" i="445"/>
  <c r="AC80" i="444"/>
  <c r="M80" i="444"/>
  <c r="AA51" i="444"/>
  <c r="AE51" i="444"/>
  <c r="G51" i="446"/>
  <c r="K51" i="446"/>
  <c r="AE51" i="446"/>
  <c r="I51" i="444"/>
  <c r="Q51" i="444"/>
  <c r="Y51" i="444"/>
  <c r="Q51" i="445"/>
  <c r="F51" i="444"/>
  <c r="V51" i="444"/>
  <c r="M51" i="445"/>
  <c r="B51" i="445"/>
  <c r="R51" i="445"/>
  <c r="K51" i="447"/>
  <c r="AA51" i="447"/>
  <c r="AD51" i="448"/>
  <c r="L51" i="448"/>
  <c r="L51" i="447"/>
  <c r="AB51" i="447"/>
  <c r="AE51" i="448"/>
  <c r="AF51" i="448"/>
  <c r="J51" i="448"/>
  <c r="AA51" i="448"/>
  <c r="K51" i="449"/>
  <c r="M51" i="449"/>
  <c r="S51" i="449"/>
  <c r="U51" i="449"/>
  <c r="K51" i="450"/>
  <c r="AA51" i="450"/>
  <c r="D51" i="450"/>
  <c r="T51" i="450"/>
  <c r="E51" i="450"/>
  <c r="U51" i="450"/>
  <c r="B51" i="450"/>
  <c r="R51" i="450"/>
  <c r="N51" i="451"/>
  <c r="O51" i="451"/>
  <c r="Q51" i="451"/>
  <c r="G51" i="451"/>
  <c r="AC51" i="451"/>
  <c r="L51" i="452"/>
  <c r="V51" i="452"/>
  <c r="C51" i="452"/>
  <c r="K51" i="452"/>
  <c r="S51" i="452"/>
  <c r="AA51" i="452"/>
  <c r="H51" i="452"/>
  <c r="B51" i="452"/>
  <c r="AC51" i="453"/>
  <c r="O51" i="453"/>
  <c r="D51" i="453"/>
  <c r="L51" i="453"/>
  <c r="AB51" i="453"/>
  <c r="Q51" i="453"/>
  <c r="S51" i="453"/>
  <c r="AD51" i="454"/>
  <c r="S51" i="454"/>
  <c r="L51" i="454"/>
  <c r="U51" i="454"/>
  <c r="J51" i="455"/>
  <c r="G51" i="455"/>
  <c r="R51" i="455"/>
  <c r="G51" i="444"/>
  <c r="H51" i="445"/>
  <c r="P51" i="445"/>
  <c r="X51" i="445"/>
  <c r="O51" i="446"/>
  <c r="E51" i="447"/>
  <c r="M51" i="447"/>
  <c r="U51" i="447"/>
  <c r="AC51" i="447"/>
  <c r="Y51" i="445"/>
  <c r="F51" i="446"/>
  <c r="N51" i="446"/>
  <c r="V51" i="446"/>
  <c r="AD51" i="446"/>
  <c r="J51" i="444"/>
  <c r="Z51" i="444"/>
  <c r="U51" i="445"/>
  <c r="F51" i="445"/>
  <c r="V51" i="445"/>
  <c r="I51" i="446"/>
  <c r="Q51" i="446"/>
  <c r="Y51" i="446"/>
  <c r="I51" i="448"/>
  <c r="Q51" i="448"/>
  <c r="Y51" i="448"/>
  <c r="O51" i="447"/>
  <c r="AE51" i="447"/>
  <c r="P51" i="448"/>
  <c r="P51" i="447"/>
  <c r="N51" i="448"/>
  <c r="Q51" i="449"/>
  <c r="R51" i="449"/>
  <c r="D51" i="449"/>
  <c r="L51" i="449"/>
  <c r="T51" i="449"/>
  <c r="AB51" i="449"/>
  <c r="C51" i="449"/>
  <c r="Y51" i="449"/>
  <c r="E51" i="449"/>
  <c r="Z51" i="449"/>
  <c r="O51" i="450"/>
  <c r="AE51" i="450"/>
  <c r="H51" i="450"/>
  <c r="X51" i="450"/>
  <c r="I51" i="450"/>
  <c r="Y51" i="450"/>
  <c r="F51" i="450"/>
  <c r="V51" i="450"/>
  <c r="S51" i="451"/>
  <c r="U51" i="451"/>
  <c r="H51" i="451"/>
  <c r="P51" i="451"/>
  <c r="X51" i="451"/>
  <c r="AF51" i="451"/>
  <c r="V51" i="451"/>
  <c r="M51" i="451"/>
  <c r="E51" i="452"/>
  <c r="M51" i="452"/>
  <c r="U51" i="452"/>
  <c r="AC51" i="452"/>
  <c r="T51" i="452"/>
  <c r="AD51" i="452"/>
  <c r="P51" i="452"/>
  <c r="J51" i="452"/>
  <c r="B51" i="453"/>
  <c r="J51" i="453"/>
  <c r="R51" i="453"/>
  <c r="Z51" i="453"/>
  <c r="E51" i="453"/>
  <c r="W51" i="453"/>
  <c r="Y51" i="453"/>
  <c r="AA51" i="453"/>
  <c r="B51" i="454"/>
  <c r="R51" i="454"/>
  <c r="G51" i="454"/>
  <c r="W51" i="454"/>
  <c r="P51" i="454"/>
  <c r="I51" i="454"/>
  <c r="Y51" i="454"/>
  <c r="D51" i="455"/>
  <c r="L51" i="455"/>
  <c r="T51" i="455"/>
  <c r="AB51" i="455"/>
  <c r="M51" i="455"/>
  <c r="U51" i="455"/>
  <c r="AC51" i="455"/>
  <c r="Z51" i="455"/>
  <c r="F51" i="454"/>
  <c r="K51" i="454"/>
  <c r="D51" i="454"/>
  <c r="M51" i="454"/>
  <c r="C51" i="455"/>
  <c r="S51" i="455"/>
  <c r="O51" i="455"/>
  <c r="O51" i="444"/>
  <c r="S51" i="446"/>
  <c r="E51" i="444"/>
  <c r="M51" i="444"/>
  <c r="U51" i="444"/>
  <c r="AC51" i="444"/>
  <c r="N51" i="444"/>
  <c r="AD51" i="444"/>
  <c r="AC51" i="445"/>
  <c r="J51" i="445"/>
  <c r="Z51" i="445"/>
  <c r="C51" i="447"/>
  <c r="S51" i="447"/>
  <c r="Z51" i="448"/>
  <c r="D51" i="448"/>
  <c r="T51" i="448"/>
  <c r="D51" i="447"/>
  <c r="T51" i="447"/>
  <c r="B51" i="448"/>
  <c r="R51" i="448"/>
  <c r="V51" i="449"/>
  <c r="B51" i="449"/>
  <c r="W51" i="449"/>
  <c r="I51" i="449"/>
  <c r="J51" i="449"/>
  <c r="AE51" i="449"/>
  <c r="C51" i="450"/>
  <c r="S51" i="450"/>
  <c r="L51" i="450"/>
  <c r="AB51" i="450"/>
  <c r="M51" i="450"/>
  <c r="AC51" i="450"/>
  <c r="J51" i="450"/>
  <c r="Z51" i="450"/>
  <c r="C51" i="451"/>
  <c r="Y51" i="451"/>
  <c r="E51" i="451"/>
  <c r="Z51" i="451"/>
  <c r="F51" i="451"/>
  <c r="AA51" i="451"/>
  <c r="R51" i="451"/>
  <c r="AB51" i="452"/>
  <c r="F51" i="452"/>
  <c r="G51" i="452"/>
  <c r="O51" i="452"/>
  <c r="W51" i="452"/>
  <c r="AE51" i="452"/>
  <c r="X51" i="452"/>
  <c r="R51" i="452"/>
  <c r="M51" i="453"/>
  <c r="AE51" i="453"/>
  <c r="H51" i="453"/>
  <c r="P51" i="453"/>
  <c r="X51" i="453"/>
  <c r="AF51" i="453"/>
  <c r="C51" i="453"/>
  <c r="V51" i="454"/>
  <c r="AA51" i="454"/>
  <c r="T51" i="454"/>
  <c r="AC51" i="454"/>
  <c r="I51" i="455"/>
  <c r="E51" i="455"/>
  <c r="K51" i="455"/>
  <c r="AA51" i="455"/>
  <c r="AE51" i="455"/>
  <c r="W51" i="444"/>
  <c r="D51" i="445"/>
  <c r="L51" i="445"/>
  <c r="T51" i="445"/>
  <c r="AB51" i="445"/>
  <c r="C51" i="446"/>
  <c r="W51" i="446"/>
  <c r="AA51" i="446"/>
  <c r="I51" i="447"/>
  <c r="Q51" i="447"/>
  <c r="Y51" i="447"/>
  <c r="I51" i="445"/>
  <c r="B51" i="446"/>
  <c r="J51" i="446"/>
  <c r="R51" i="446"/>
  <c r="Z51" i="446"/>
  <c r="B51" i="444"/>
  <c r="R51" i="444"/>
  <c r="E51" i="445"/>
  <c r="N51" i="445"/>
  <c r="E51" i="446"/>
  <c r="M51" i="446"/>
  <c r="U51" i="446"/>
  <c r="AC51" i="446"/>
  <c r="E51" i="448"/>
  <c r="M51" i="448"/>
  <c r="U51" i="448"/>
  <c r="AC51" i="448"/>
  <c r="G51" i="447"/>
  <c r="W51" i="447"/>
  <c r="H51" i="448"/>
  <c r="X51" i="448"/>
  <c r="H51" i="447"/>
  <c r="X51" i="447"/>
  <c r="F51" i="448"/>
  <c r="V51" i="448"/>
  <c r="F51" i="449"/>
  <c r="AA51" i="449"/>
  <c r="G51" i="449"/>
  <c r="AC51" i="449"/>
  <c r="H51" i="449"/>
  <c r="P51" i="449"/>
  <c r="X51" i="449"/>
  <c r="N51" i="449"/>
  <c r="O51" i="449"/>
  <c r="G51" i="450"/>
  <c r="W51" i="450"/>
  <c r="P51" i="450"/>
  <c r="AF51" i="450"/>
  <c r="Q51" i="450"/>
  <c r="N51" i="450"/>
  <c r="AD51" i="450"/>
  <c r="I51" i="451"/>
  <c r="AD51" i="451"/>
  <c r="J51" i="451"/>
  <c r="AE51" i="451"/>
  <c r="D51" i="451"/>
  <c r="L51" i="451"/>
  <c r="T51" i="451"/>
  <c r="AB51" i="451"/>
  <c r="K51" i="451"/>
  <c r="B51" i="451"/>
  <c r="W51" i="451"/>
  <c r="I51" i="452"/>
  <c r="Q51" i="452"/>
  <c r="Y51" i="452"/>
  <c r="D51" i="452"/>
  <c r="N51" i="452"/>
  <c r="Z51" i="452"/>
  <c r="F51" i="453"/>
  <c r="N51" i="453"/>
  <c r="V51" i="453"/>
  <c r="AD51" i="453"/>
  <c r="U51" i="453"/>
  <c r="G51" i="453"/>
  <c r="I51" i="453"/>
  <c r="K51" i="453"/>
  <c r="J51" i="454"/>
  <c r="Z51" i="454"/>
  <c r="O51" i="454"/>
  <c r="AE51" i="454"/>
  <c r="H51" i="454"/>
  <c r="X51" i="454"/>
  <c r="Q51" i="454"/>
  <c r="H51" i="455"/>
  <c r="P51" i="455"/>
  <c r="X51" i="455"/>
  <c r="AF51" i="455"/>
  <c r="V51" i="455"/>
  <c r="Q51" i="455"/>
  <c r="Y51" i="455"/>
  <c r="B51" i="455"/>
  <c r="N51" i="455"/>
  <c r="F51" i="455"/>
  <c r="T51" i="453"/>
  <c r="N51" i="454"/>
  <c r="C51" i="454"/>
  <c r="AB51" i="454"/>
  <c r="E51" i="454"/>
  <c r="AD51" i="455"/>
  <c r="W51" i="455"/>
  <c r="M11" i="448"/>
  <c r="M54" i="448" s="1"/>
  <c r="N12" i="455"/>
  <c r="N11" i="455"/>
  <c r="N54" i="455" s="1"/>
  <c r="O10" i="455"/>
  <c r="N9" i="455"/>
  <c r="N49" i="455"/>
  <c r="N11" i="449"/>
  <c r="N54" i="449" s="1"/>
  <c r="O11" i="444"/>
  <c r="O54" i="444" s="1"/>
  <c r="O9" i="444"/>
  <c r="P10" i="444"/>
  <c r="O12" i="444"/>
  <c r="O49" i="444"/>
  <c r="M11" i="450"/>
  <c r="M54" i="450" s="1"/>
  <c r="N12" i="453"/>
  <c r="O10" i="453"/>
  <c r="N11" i="453"/>
  <c r="N54" i="453" s="1"/>
  <c r="N9" i="453"/>
  <c r="N49" i="453"/>
  <c r="B11" i="455"/>
  <c r="B11" i="454"/>
  <c r="B11" i="453"/>
  <c r="B73" i="453" s="1"/>
  <c r="B11" i="452"/>
  <c r="B73" i="452" s="1"/>
  <c r="B11" i="451"/>
  <c r="B11" i="450"/>
  <c r="B11" i="449"/>
  <c r="B73" i="449" s="1"/>
  <c r="B11" i="447"/>
  <c r="B73" i="447" s="1"/>
  <c r="B11" i="448"/>
  <c r="C11" i="447"/>
  <c r="B11" i="446"/>
  <c r="B73" i="446" s="1"/>
  <c r="C11" i="445"/>
  <c r="C73" i="445" s="1"/>
  <c r="B11" i="445"/>
  <c r="B73" i="445" s="1"/>
  <c r="B11" i="444"/>
  <c r="D11" i="447"/>
  <c r="D73" i="447" s="1"/>
  <c r="C11" i="451"/>
  <c r="C11" i="453"/>
  <c r="D11" i="444"/>
  <c r="E11" i="445"/>
  <c r="E73" i="445" s="1"/>
  <c r="C11" i="446"/>
  <c r="C11" i="448"/>
  <c r="C11" i="444"/>
  <c r="D11" i="449"/>
  <c r="D73" i="449" s="1"/>
  <c r="D11" i="445"/>
  <c r="D73" i="445" s="1"/>
  <c r="C11" i="449"/>
  <c r="C11" i="450"/>
  <c r="C11" i="452"/>
  <c r="C73" i="452" s="1"/>
  <c r="C11" i="454"/>
  <c r="C11" i="455"/>
  <c r="F11" i="445"/>
  <c r="D11" i="454"/>
  <c r="D11" i="452"/>
  <c r="D73" i="452" s="1"/>
  <c r="E11" i="447"/>
  <c r="D11" i="448"/>
  <c r="D11" i="446"/>
  <c r="D73" i="446" s="1"/>
  <c r="D11" i="453"/>
  <c r="D11" i="455"/>
  <c r="D73" i="455" s="1"/>
  <c r="E11" i="449"/>
  <c r="E11" i="444"/>
  <c r="E73" i="444" s="1"/>
  <c r="D11" i="450"/>
  <c r="D11" i="451"/>
  <c r="E11" i="450"/>
  <c r="E11" i="451"/>
  <c r="E73" i="451" s="1"/>
  <c r="F11" i="444"/>
  <c r="F73" i="444" s="1"/>
  <c r="E11" i="448"/>
  <c r="E11" i="452"/>
  <c r="E11" i="454"/>
  <c r="E73" i="454" s="1"/>
  <c r="F11" i="447"/>
  <c r="F73" i="447" s="1"/>
  <c r="E11" i="453"/>
  <c r="G11" i="445"/>
  <c r="E11" i="446"/>
  <c r="E11" i="455"/>
  <c r="E73" i="455" s="1"/>
  <c r="F11" i="449"/>
  <c r="F73" i="449" s="1"/>
  <c r="G11" i="449"/>
  <c r="F11" i="452"/>
  <c r="F73" i="452" s="1"/>
  <c r="F11" i="455"/>
  <c r="G11" i="444"/>
  <c r="F11" i="454"/>
  <c r="F11" i="453"/>
  <c r="F73" i="453" s="1"/>
  <c r="F11" i="448"/>
  <c r="G11" i="447"/>
  <c r="F11" i="450"/>
  <c r="H11" i="445"/>
  <c r="H73" i="445" s="1"/>
  <c r="F11" i="451"/>
  <c r="F11" i="446"/>
  <c r="G11" i="452"/>
  <c r="G11" i="451"/>
  <c r="G73" i="451" s="1"/>
  <c r="I11" i="445"/>
  <c r="H11" i="449"/>
  <c r="H73" i="449" s="1"/>
  <c r="G11" i="453"/>
  <c r="G11" i="455"/>
  <c r="G73" i="455" s="1"/>
  <c r="G11" i="454"/>
  <c r="G73" i="454" s="1"/>
  <c r="G11" i="450"/>
  <c r="H11" i="444"/>
  <c r="G11" i="448"/>
  <c r="G73" i="448" s="1"/>
  <c r="G11" i="446"/>
  <c r="G73" i="446" s="1"/>
  <c r="H11" i="447"/>
  <c r="H11" i="455"/>
  <c r="I11" i="449"/>
  <c r="I73" i="449" s="1"/>
  <c r="H11" i="448"/>
  <c r="H73" i="448" s="1"/>
  <c r="H11" i="446"/>
  <c r="H11" i="453"/>
  <c r="H11" i="451"/>
  <c r="H73" i="451" s="1"/>
  <c r="J11" i="445"/>
  <c r="I11" i="444"/>
  <c r="I73" i="444" s="1"/>
  <c r="H11" i="452"/>
  <c r="H11" i="454"/>
  <c r="H11" i="450"/>
  <c r="H73" i="450" s="1"/>
  <c r="I11" i="447"/>
  <c r="I73" i="447" s="1"/>
  <c r="I11" i="452"/>
  <c r="J11" i="449"/>
  <c r="J73" i="449" s="1"/>
  <c r="I11" i="455"/>
  <c r="I11" i="450"/>
  <c r="I73" i="450" s="1"/>
  <c r="J11" i="447"/>
  <c r="I11" i="453"/>
  <c r="I73" i="453" s="1"/>
  <c r="K11" i="445"/>
  <c r="K73" i="445" s="1"/>
  <c r="J11" i="444"/>
  <c r="I11" i="446"/>
  <c r="I11" i="451"/>
  <c r="I73" i="451" s="1"/>
  <c r="I11" i="454"/>
  <c r="I73" i="454" s="1"/>
  <c r="I11" i="448"/>
  <c r="J11" i="448"/>
  <c r="J11" i="452"/>
  <c r="J73" i="452" s="1"/>
  <c r="J11" i="446"/>
  <c r="J73" i="446" s="1"/>
  <c r="J11" i="451"/>
  <c r="J73" i="451" s="1"/>
  <c r="J11" i="454"/>
  <c r="K11" i="449"/>
  <c r="K73" i="449" s="1"/>
  <c r="J11" i="455"/>
  <c r="K11" i="447"/>
  <c r="L11" i="445"/>
  <c r="K11" i="444"/>
  <c r="K73" i="444" s="1"/>
  <c r="J11" i="453"/>
  <c r="J73" i="453" s="1"/>
  <c r="J11" i="450"/>
  <c r="K11" i="453"/>
  <c r="L11" i="447"/>
  <c r="M11" i="445"/>
  <c r="K11" i="446"/>
  <c r="K73" i="446" s="1"/>
  <c r="L11" i="449"/>
  <c r="L11" i="444"/>
  <c r="L73" i="444" s="1"/>
  <c r="K11" i="455"/>
  <c r="K73" i="455" s="1"/>
  <c r="K11" i="450"/>
  <c r="K11" i="454"/>
  <c r="K11" i="448"/>
  <c r="K73" i="448" s="1"/>
  <c r="K11" i="452"/>
  <c r="K73" i="452" s="1"/>
  <c r="K11" i="451"/>
  <c r="K73" i="451" s="1"/>
  <c r="N11" i="445"/>
  <c r="L11" i="453"/>
  <c r="L73" i="453" s="1"/>
  <c r="M11" i="444"/>
  <c r="L11" i="451"/>
  <c r="M11" i="449"/>
  <c r="L11" i="448"/>
  <c r="L11" i="455"/>
  <c r="M11" i="447"/>
  <c r="M73" i="447" s="1"/>
  <c r="L11" i="454"/>
  <c r="L11" i="450"/>
  <c r="L11" i="452"/>
  <c r="L73" i="452" s="1"/>
  <c r="L11" i="446"/>
  <c r="M11" i="451"/>
  <c r="M54" i="451" s="1"/>
  <c r="N11" i="444"/>
  <c r="N54" i="444" s="1"/>
  <c r="O12" i="447"/>
  <c r="O9" i="447"/>
  <c r="O11" i="447"/>
  <c r="O54" i="447" s="1"/>
  <c r="P10" i="447"/>
  <c r="O49" i="447"/>
  <c r="N11" i="452"/>
  <c r="N54" i="452" s="1"/>
  <c r="O10" i="452"/>
  <c r="N12" i="452"/>
  <c r="N9" i="452"/>
  <c r="N49" i="452"/>
  <c r="J13" i="1"/>
  <c r="V3" i="444" s="1"/>
  <c r="V2" i="444"/>
  <c r="AM81" i="455"/>
  <c r="AM76" i="455"/>
  <c r="AM48" i="455"/>
  <c r="AL81" i="454"/>
  <c r="AL48" i="454"/>
  <c r="AM81" i="453"/>
  <c r="AL48" i="452"/>
  <c r="AM48" i="453"/>
  <c r="AL81" i="452"/>
  <c r="AM81" i="451"/>
  <c r="AM48" i="451"/>
  <c r="AM81" i="450"/>
  <c r="AM48" i="450"/>
  <c r="AL81" i="449"/>
  <c r="AL48" i="449"/>
  <c r="AM81" i="448"/>
  <c r="AL48" i="447"/>
  <c r="AM48" i="448"/>
  <c r="AL81" i="447"/>
  <c r="AM81" i="446"/>
  <c r="AL111" i="444"/>
  <c r="AN111" i="444" s="1"/>
  <c r="AL107" i="444"/>
  <c r="AN107" i="444" s="1"/>
  <c r="AL103" i="444"/>
  <c r="AN103" i="444" s="1"/>
  <c r="AL99" i="444"/>
  <c r="AN99" i="444" s="1"/>
  <c r="AL84" i="444"/>
  <c r="AL65" i="444"/>
  <c r="AL58" i="444"/>
  <c r="V7" i="444"/>
  <c r="AM48" i="446"/>
  <c r="AJ81" i="445"/>
  <c r="AL112" i="444"/>
  <c r="AN112" i="444" s="1"/>
  <c r="AI112" i="445" s="1"/>
  <c r="AK112" i="445" s="1"/>
  <c r="AL112" i="446" s="1"/>
  <c r="AN112" i="446" s="1"/>
  <c r="AK112" i="447" s="1"/>
  <c r="AM112" i="447" s="1"/>
  <c r="AL112" i="448" s="1"/>
  <c r="AN112" i="448" s="1"/>
  <c r="AK112" i="449" s="1"/>
  <c r="AM112" i="449" s="1"/>
  <c r="AL112" i="450" s="1"/>
  <c r="AN112" i="450" s="1"/>
  <c r="AL112" i="451" s="1"/>
  <c r="AN112" i="451" s="1"/>
  <c r="AK112" i="452" s="1"/>
  <c r="AM112" i="452" s="1"/>
  <c r="AL112" i="453" s="1"/>
  <c r="AN112" i="453" s="1"/>
  <c r="AK112" i="454" s="1"/>
  <c r="AM112" i="454" s="1"/>
  <c r="AL112" i="455" s="1"/>
  <c r="AN112" i="455" s="1"/>
  <c r="AL110" i="444"/>
  <c r="AN110" i="444" s="1"/>
  <c r="AI110" i="445" s="1"/>
  <c r="AK110" i="445" s="1"/>
  <c r="AL110" i="446" s="1"/>
  <c r="AN110" i="446" s="1"/>
  <c r="AK110" i="447" s="1"/>
  <c r="AM110" i="447" s="1"/>
  <c r="AL110" i="448" s="1"/>
  <c r="AN110" i="448" s="1"/>
  <c r="AK110" i="449" s="1"/>
  <c r="AM110" i="449" s="1"/>
  <c r="AL110" i="450" s="1"/>
  <c r="AN110" i="450" s="1"/>
  <c r="AL110" i="451" s="1"/>
  <c r="AN110" i="451" s="1"/>
  <c r="AK110" i="452" s="1"/>
  <c r="AM110" i="452" s="1"/>
  <c r="AL110" i="453" s="1"/>
  <c r="AN110" i="453" s="1"/>
  <c r="AK110" i="454" s="1"/>
  <c r="AM110" i="454" s="1"/>
  <c r="AL110" i="455" s="1"/>
  <c r="AN110" i="455" s="1"/>
  <c r="AL106" i="444"/>
  <c r="AN106" i="444" s="1"/>
  <c r="AI106" i="445" s="1"/>
  <c r="AK106" i="445" s="1"/>
  <c r="AL106" i="446" s="1"/>
  <c r="AN106" i="446" s="1"/>
  <c r="AK106" i="447" s="1"/>
  <c r="AM106" i="447" s="1"/>
  <c r="AL106" i="448" s="1"/>
  <c r="AN106" i="448" s="1"/>
  <c r="AK106" i="449" s="1"/>
  <c r="AM106" i="449" s="1"/>
  <c r="AL106" i="450" s="1"/>
  <c r="AN106" i="450" s="1"/>
  <c r="AL106" i="451" s="1"/>
  <c r="AN106" i="451" s="1"/>
  <c r="AK106" i="452" s="1"/>
  <c r="AM106" i="452" s="1"/>
  <c r="AL106" i="453" s="1"/>
  <c r="AN106" i="453" s="1"/>
  <c r="AK106" i="454" s="1"/>
  <c r="AM106" i="454" s="1"/>
  <c r="AL106" i="455" s="1"/>
  <c r="AN106" i="455" s="1"/>
  <c r="AL102" i="444"/>
  <c r="AN102" i="444" s="1"/>
  <c r="AI102" i="445" s="1"/>
  <c r="AK102" i="445" s="1"/>
  <c r="AL102" i="446" s="1"/>
  <c r="AN102" i="446" s="1"/>
  <c r="AK102" i="447" s="1"/>
  <c r="AM102" i="447" s="1"/>
  <c r="AL102" i="448" s="1"/>
  <c r="AN102" i="448" s="1"/>
  <c r="AK102" i="449" s="1"/>
  <c r="AM102" i="449" s="1"/>
  <c r="AL102" i="450" s="1"/>
  <c r="AN102" i="450" s="1"/>
  <c r="AL102" i="451" s="1"/>
  <c r="AN102" i="451" s="1"/>
  <c r="AK102" i="452" s="1"/>
  <c r="AM102" i="452" s="1"/>
  <c r="AL102" i="453" s="1"/>
  <c r="AN102" i="453" s="1"/>
  <c r="AK102" i="454" s="1"/>
  <c r="AM102" i="454" s="1"/>
  <c r="AL102" i="455" s="1"/>
  <c r="AN102" i="455" s="1"/>
  <c r="AL98" i="444"/>
  <c r="AN98" i="444" s="1"/>
  <c r="AI98" i="445" s="1"/>
  <c r="AK98" i="445" s="1"/>
  <c r="AL98" i="446" s="1"/>
  <c r="AN98" i="446" s="1"/>
  <c r="AK98" i="447" s="1"/>
  <c r="AM98" i="447" s="1"/>
  <c r="AL98" i="448" s="1"/>
  <c r="AN98" i="448" s="1"/>
  <c r="AK98" i="449" s="1"/>
  <c r="AM98" i="449" s="1"/>
  <c r="AL98" i="450" s="1"/>
  <c r="AN98" i="450" s="1"/>
  <c r="AL98" i="451" s="1"/>
  <c r="AN98" i="451" s="1"/>
  <c r="AK98" i="452" s="1"/>
  <c r="AM98" i="452" s="1"/>
  <c r="AL98" i="453" s="1"/>
  <c r="AN98" i="453" s="1"/>
  <c r="AK98" i="454" s="1"/>
  <c r="AM98" i="454" s="1"/>
  <c r="AL98" i="455" s="1"/>
  <c r="AN98" i="455" s="1"/>
  <c r="AL82" i="444"/>
  <c r="AM81" i="444"/>
  <c r="AL80" i="444"/>
  <c r="AL71" i="444"/>
  <c r="AN71" i="444" s="1"/>
  <c r="AI71" i="445" s="1"/>
  <c r="AK71" i="445" s="1"/>
  <c r="AL71" i="446" s="1"/>
  <c r="AN71" i="446" s="1"/>
  <c r="AK71" i="447" s="1"/>
  <c r="AM71" i="447" s="1"/>
  <c r="AL71" i="448" s="1"/>
  <c r="AN71" i="448" s="1"/>
  <c r="AK71" i="449" s="1"/>
  <c r="AM71" i="449" s="1"/>
  <c r="AL71" i="450" s="1"/>
  <c r="AN71" i="450" s="1"/>
  <c r="AL71" i="451" s="1"/>
  <c r="AN71" i="451" s="1"/>
  <c r="AK71" i="452" s="1"/>
  <c r="AM71" i="452" s="1"/>
  <c r="AL71" i="453" s="1"/>
  <c r="AN71" i="453" s="1"/>
  <c r="AK71" i="454" s="1"/>
  <c r="AM71" i="454" s="1"/>
  <c r="AL71" i="455" s="1"/>
  <c r="AN71" i="455" s="1"/>
  <c r="AL69" i="444"/>
  <c r="AL60" i="444"/>
  <c r="AN60" i="444" s="1"/>
  <c r="U7" i="444"/>
  <c r="U7" i="445" s="1"/>
  <c r="U7" i="446" s="1"/>
  <c r="AI60" i="445"/>
  <c r="AK60" i="445" s="1"/>
  <c r="AL60" i="446" s="1"/>
  <c r="AN60" i="446" s="1"/>
  <c r="AK60" i="447" s="1"/>
  <c r="AM60" i="447" s="1"/>
  <c r="AL60" i="448" s="1"/>
  <c r="AN60" i="448" s="1"/>
  <c r="AK60" i="449" s="1"/>
  <c r="AM60" i="449" s="1"/>
  <c r="AL60" i="450" s="1"/>
  <c r="AN60" i="450" s="1"/>
  <c r="AL60" i="451" s="1"/>
  <c r="AN60" i="451" s="1"/>
  <c r="AK60" i="452" s="1"/>
  <c r="AM60" i="452" s="1"/>
  <c r="AL60" i="453" s="1"/>
  <c r="AN60" i="453" s="1"/>
  <c r="AK60" i="454" s="1"/>
  <c r="AM60" i="454" s="1"/>
  <c r="AL60" i="455" s="1"/>
  <c r="AN60" i="455" s="1"/>
  <c r="AL114" i="444"/>
  <c r="AN114" i="444" s="1"/>
  <c r="AL109" i="444"/>
  <c r="AN109" i="444" s="1"/>
  <c r="AI109" i="445" s="1"/>
  <c r="AK109" i="445" s="1"/>
  <c r="AL109" i="446" s="1"/>
  <c r="AN109" i="446" s="1"/>
  <c r="AK109" i="447" s="1"/>
  <c r="AM109" i="447" s="1"/>
  <c r="AL109" i="448" s="1"/>
  <c r="AN109" i="448" s="1"/>
  <c r="AK109" i="449" s="1"/>
  <c r="AM109" i="449" s="1"/>
  <c r="AL109" i="450" s="1"/>
  <c r="AN109" i="450" s="1"/>
  <c r="AL109" i="451" s="1"/>
  <c r="AN109" i="451" s="1"/>
  <c r="AK109" i="452" s="1"/>
  <c r="AM109" i="452" s="1"/>
  <c r="AL109" i="453" s="1"/>
  <c r="AN109" i="453" s="1"/>
  <c r="AK109" i="454" s="1"/>
  <c r="AM109" i="454" s="1"/>
  <c r="AL109" i="455" s="1"/>
  <c r="AN109" i="455" s="1"/>
  <c r="AL105" i="444"/>
  <c r="AN105" i="444" s="1"/>
  <c r="AI105" i="445" s="1"/>
  <c r="AK105" i="445" s="1"/>
  <c r="AL105" i="446" s="1"/>
  <c r="AN105" i="446" s="1"/>
  <c r="AK105" i="447" s="1"/>
  <c r="AM105" i="447" s="1"/>
  <c r="AL105" i="448" s="1"/>
  <c r="AN105" i="448" s="1"/>
  <c r="AK105" i="449" s="1"/>
  <c r="AM105" i="449" s="1"/>
  <c r="AL105" i="450" s="1"/>
  <c r="AN105" i="450" s="1"/>
  <c r="AL105" i="451" s="1"/>
  <c r="AN105" i="451" s="1"/>
  <c r="AK105" i="452" s="1"/>
  <c r="AM105" i="452" s="1"/>
  <c r="AL105" i="453" s="1"/>
  <c r="AN105" i="453" s="1"/>
  <c r="AK105" i="454" s="1"/>
  <c r="AM105" i="454" s="1"/>
  <c r="AL105" i="455" s="1"/>
  <c r="AN105" i="455" s="1"/>
  <c r="AL101" i="444"/>
  <c r="AN101" i="444" s="1"/>
  <c r="AI101" i="445" s="1"/>
  <c r="AK101" i="445" s="1"/>
  <c r="AL101" i="446" s="1"/>
  <c r="AN101" i="446" s="1"/>
  <c r="AK101" i="447" s="1"/>
  <c r="AM101" i="447" s="1"/>
  <c r="AL101" i="448" s="1"/>
  <c r="AN101" i="448" s="1"/>
  <c r="AK101" i="449" s="1"/>
  <c r="AM101" i="449" s="1"/>
  <c r="AL101" i="450" s="1"/>
  <c r="AN101" i="450" s="1"/>
  <c r="AL101" i="451" s="1"/>
  <c r="AN101" i="451" s="1"/>
  <c r="AK101" i="452" s="1"/>
  <c r="AM101" i="452" s="1"/>
  <c r="AL101" i="453" s="1"/>
  <c r="AN101" i="453" s="1"/>
  <c r="AK101" i="454" s="1"/>
  <c r="AM101" i="454" s="1"/>
  <c r="AL101" i="455" s="1"/>
  <c r="AN101" i="455" s="1"/>
  <c r="AL97" i="444"/>
  <c r="AN97" i="444" s="1"/>
  <c r="AI97" i="445" s="1"/>
  <c r="AK97" i="445" s="1"/>
  <c r="AL97" i="446" s="1"/>
  <c r="AN97" i="446" s="1"/>
  <c r="AK97" i="447" s="1"/>
  <c r="AM97" i="447" s="1"/>
  <c r="AL97" i="448" s="1"/>
  <c r="AN97" i="448" s="1"/>
  <c r="AK97" i="449" s="1"/>
  <c r="AM97" i="449" s="1"/>
  <c r="AL97" i="450" s="1"/>
  <c r="AN97" i="450" s="1"/>
  <c r="AL97" i="451" s="1"/>
  <c r="AN97" i="451" s="1"/>
  <c r="AK97" i="452" s="1"/>
  <c r="AM97" i="452" s="1"/>
  <c r="AL97" i="453" s="1"/>
  <c r="AN97" i="453" s="1"/>
  <c r="AK97" i="454" s="1"/>
  <c r="AM97" i="454" s="1"/>
  <c r="AL97" i="455" s="1"/>
  <c r="AN97" i="455" s="1"/>
  <c r="AL81" i="444"/>
  <c r="AL79" i="444"/>
  <c r="AL94" i="444"/>
  <c r="AN94" i="444" s="1"/>
  <c r="AL90" i="444"/>
  <c r="AN90" i="444" s="1"/>
  <c r="AL86" i="444"/>
  <c r="AN86" i="444" s="1"/>
  <c r="AI86" i="445" s="1"/>
  <c r="AK86" i="445" s="1"/>
  <c r="AL86" i="446" s="1"/>
  <c r="AN86" i="446" s="1"/>
  <c r="AK86" i="447" s="1"/>
  <c r="AM86" i="447" s="1"/>
  <c r="AL86" i="448" s="1"/>
  <c r="AN86" i="448" s="1"/>
  <c r="AK86" i="449" s="1"/>
  <c r="AM86" i="449" s="1"/>
  <c r="AL86" i="450" s="1"/>
  <c r="AN86" i="450" s="1"/>
  <c r="AL86" i="451" s="1"/>
  <c r="AN86" i="451" s="1"/>
  <c r="AK86" i="452" s="1"/>
  <c r="AM86" i="452" s="1"/>
  <c r="AL86" i="453" s="1"/>
  <c r="AN86" i="453" s="1"/>
  <c r="AK86" i="454" s="1"/>
  <c r="AM86" i="454" s="1"/>
  <c r="AL86" i="455" s="1"/>
  <c r="AN86" i="455" s="1"/>
  <c r="B68" i="444"/>
  <c r="C68" i="444" s="1"/>
  <c r="D68" i="444" s="1"/>
  <c r="E68" i="444" s="1"/>
  <c r="F68" i="444" s="1"/>
  <c r="G68" i="444" s="1"/>
  <c r="H68" i="444" s="1"/>
  <c r="I68" i="444" s="1"/>
  <c r="J68" i="444" s="1"/>
  <c r="K68" i="444" s="1"/>
  <c r="L68" i="444" s="1"/>
  <c r="M68" i="444" s="1"/>
  <c r="N68" i="444" s="1"/>
  <c r="O68" i="444" s="1"/>
  <c r="P68" i="444" s="1"/>
  <c r="AM48" i="444"/>
  <c r="AI111" i="445"/>
  <c r="AK111" i="445" s="1"/>
  <c r="AL111" i="446" s="1"/>
  <c r="AN111" i="446" s="1"/>
  <c r="AK111" i="447" s="1"/>
  <c r="AM111" i="447" s="1"/>
  <c r="AL111" i="448" s="1"/>
  <c r="AN111" i="448" s="1"/>
  <c r="AK111" i="449" s="1"/>
  <c r="AM111" i="449" s="1"/>
  <c r="AL111" i="450" s="1"/>
  <c r="AN111" i="450" s="1"/>
  <c r="AL111" i="451" s="1"/>
  <c r="AN111" i="451" s="1"/>
  <c r="AK111" i="452" s="1"/>
  <c r="AM111" i="452" s="1"/>
  <c r="AL111" i="453" s="1"/>
  <c r="AN111" i="453" s="1"/>
  <c r="AK111" i="454" s="1"/>
  <c r="AM111" i="454" s="1"/>
  <c r="AL111" i="455" s="1"/>
  <c r="AN111" i="455" s="1"/>
  <c r="AI103" i="445"/>
  <c r="AK103" i="445" s="1"/>
  <c r="AL103" i="446" s="1"/>
  <c r="AN103" i="446" s="1"/>
  <c r="AK103" i="447" s="1"/>
  <c r="AM103" i="447" s="1"/>
  <c r="AL103" i="448" s="1"/>
  <c r="AN103" i="448" s="1"/>
  <c r="AK103" i="449" s="1"/>
  <c r="AM103" i="449" s="1"/>
  <c r="AL103" i="450" s="1"/>
  <c r="AN103" i="450" s="1"/>
  <c r="AL103" i="451" s="1"/>
  <c r="AN103" i="451" s="1"/>
  <c r="AK103" i="452" s="1"/>
  <c r="AM103" i="452" s="1"/>
  <c r="AL103" i="453" s="1"/>
  <c r="AN103" i="453" s="1"/>
  <c r="AK103" i="454" s="1"/>
  <c r="AM103" i="454" s="1"/>
  <c r="AL103" i="455" s="1"/>
  <c r="AN103" i="455" s="1"/>
  <c r="V7" i="445"/>
  <c r="V7" i="446" s="1"/>
  <c r="V7" i="447" s="1"/>
  <c r="V7" i="448" s="1"/>
  <c r="V7" i="449" s="1"/>
  <c r="V7" i="450" s="1"/>
  <c r="V7" i="451" s="1"/>
  <c r="AL108" i="444"/>
  <c r="AN108" i="444" s="1"/>
  <c r="AI108" i="445" s="1"/>
  <c r="AK108" i="445" s="1"/>
  <c r="AL108" i="446" s="1"/>
  <c r="AN108" i="446" s="1"/>
  <c r="AK108" i="447" s="1"/>
  <c r="AM108" i="447" s="1"/>
  <c r="AL108" i="448" s="1"/>
  <c r="AN108" i="448" s="1"/>
  <c r="AK108" i="449" s="1"/>
  <c r="AM108" i="449" s="1"/>
  <c r="AL108" i="450" s="1"/>
  <c r="AN108" i="450" s="1"/>
  <c r="AL108" i="451" s="1"/>
  <c r="AN108" i="451" s="1"/>
  <c r="AK108" i="452" s="1"/>
  <c r="AM108" i="452" s="1"/>
  <c r="AL108" i="453" s="1"/>
  <c r="AN108" i="453" s="1"/>
  <c r="AK108" i="454" s="1"/>
  <c r="AM108" i="454" s="1"/>
  <c r="AL108" i="455" s="1"/>
  <c r="AN108" i="455" s="1"/>
  <c r="AL104" i="444"/>
  <c r="AN104" i="444" s="1"/>
  <c r="AI104" i="445" s="1"/>
  <c r="AK104" i="445" s="1"/>
  <c r="AL104" i="446" s="1"/>
  <c r="AN104" i="446" s="1"/>
  <c r="AK104" i="447" s="1"/>
  <c r="AM104" i="447" s="1"/>
  <c r="AL104" i="448" s="1"/>
  <c r="AN104" i="448" s="1"/>
  <c r="AK104" i="449" s="1"/>
  <c r="AM104" i="449" s="1"/>
  <c r="AL104" i="450" s="1"/>
  <c r="AN104" i="450" s="1"/>
  <c r="AL104" i="451" s="1"/>
  <c r="AN104" i="451" s="1"/>
  <c r="AK104" i="452" s="1"/>
  <c r="AM104" i="452" s="1"/>
  <c r="AL104" i="453" s="1"/>
  <c r="AN104" i="453" s="1"/>
  <c r="AK104" i="454" s="1"/>
  <c r="AM104" i="454" s="1"/>
  <c r="AL104" i="455" s="1"/>
  <c r="AN104" i="455" s="1"/>
  <c r="AL100" i="444"/>
  <c r="AN100" i="444" s="1"/>
  <c r="AI100" i="445" s="1"/>
  <c r="AK100" i="445" s="1"/>
  <c r="AL100" i="446" s="1"/>
  <c r="AN100" i="446" s="1"/>
  <c r="AK100" i="447" s="1"/>
  <c r="AM100" i="447" s="1"/>
  <c r="AL100" i="448" s="1"/>
  <c r="AN100" i="448" s="1"/>
  <c r="AK100" i="449" s="1"/>
  <c r="AM100" i="449" s="1"/>
  <c r="AL100" i="450" s="1"/>
  <c r="AN100" i="450" s="1"/>
  <c r="AL100" i="451" s="1"/>
  <c r="AN100" i="451" s="1"/>
  <c r="AK100" i="452" s="1"/>
  <c r="AM100" i="452" s="1"/>
  <c r="AL100" i="453" s="1"/>
  <c r="AN100" i="453" s="1"/>
  <c r="AK100" i="454" s="1"/>
  <c r="AM100" i="454" s="1"/>
  <c r="AL100" i="455" s="1"/>
  <c r="AN100" i="455" s="1"/>
  <c r="AL95" i="444"/>
  <c r="AN95" i="444" s="1"/>
  <c r="AI95" i="445" s="1"/>
  <c r="AK95" i="445" s="1"/>
  <c r="AL95" i="446" s="1"/>
  <c r="AN95" i="446" s="1"/>
  <c r="AK95" i="447" s="1"/>
  <c r="AM95" i="447" s="1"/>
  <c r="AL95" i="448" s="1"/>
  <c r="AN95" i="448" s="1"/>
  <c r="AK95" i="449" s="1"/>
  <c r="AM95" i="449" s="1"/>
  <c r="AL95" i="450" s="1"/>
  <c r="AN95" i="450" s="1"/>
  <c r="AL95" i="451" s="1"/>
  <c r="AN95" i="451" s="1"/>
  <c r="AK95" i="452" s="1"/>
  <c r="AM95" i="452" s="1"/>
  <c r="AL95" i="453" s="1"/>
  <c r="AN95" i="453" s="1"/>
  <c r="AK95" i="454" s="1"/>
  <c r="AM95" i="454" s="1"/>
  <c r="AL95" i="455" s="1"/>
  <c r="AN95" i="455" s="1"/>
  <c r="AL91" i="444"/>
  <c r="AN91" i="444" s="1"/>
  <c r="AI91" i="445" s="1"/>
  <c r="AK91" i="445" s="1"/>
  <c r="AL91" i="446" s="1"/>
  <c r="AN91" i="446" s="1"/>
  <c r="AK91" i="447" s="1"/>
  <c r="AM91" i="447" s="1"/>
  <c r="AL91" i="448" s="1"/>
  <c r="AN91" i="448" s="1"/>
  <c r="AK91" i="449" s="1"/>
  <c r="AM91" i="449" s="1"/>
  <c r="AL91" i="450" s="1"/>
  <c r="AN91" i="450" s="1"/>
  <c r="AL91" i="451" s="1"/>
  <c r="AN91" i="451" s="1"/>
  <c r="AK91" i="452" s="1"/>
  <c r="AM91" i="452" s="1"/>
  <c r="AL91" i="453" s="1"/>
  <c r="AN91" i="453" s="1"/>
  <c r="AK91" i="454" s="1"/>
  <c r="AM91" i="454" s="1"/>
  <c r="AL91" i="455" s="1"/>
  <c r="AN91" i="455" s="1"/>
  <c r="AL87" i="444"/>
  <c r="AN87" i="444" s="1"/>
  <c r="AI87" i="445" s="1"/>
  <c r="AK87" i="445" s="1"/>
  <c r="AL87" i="446" s="1"/>
  <c r="AN87" i="446" s="1"/>
  <c r="AK87" i="447" s="1"/>
  <c r="AM87" i="447" s="1"/>
  <c r="AL87" i="448" s="1"/>
  <c r="AN87" i="448" s="1"/>
  <c r="AK87" i="449" s="1"/>
  <c r="AM87" i="449" s="1"/>
  <c r="AL87" i="450" s="1"/>
  <c r="AN87" i="450" s="1"/>
  <c r="AL87" i="451" s="1"/>
  <c r="AN87" i="451" s="1"/>
  <c r="AK87" i="452" s="1"/>
  <c r="AM87" i="452" s="1"/>
  <c r="AL87" i="453" s="1"/>
  <c r="AN87" i="453" s="1"/>
  <c r="AK87" i="454" s="1"/>
  <c r="AM87" i="454" s="1"/>
  <c r="AL87" i="455" s="1"/>
  <c r="AN87" i="455" s="1"/>
  <c r="AL55" i="444"/>
  <c r="AI114" i="445"/>
  <c r="AK114" i="445" s="1"/>
  <c r="AL114" i="446" s="1"/>
  <c r="AN114" i="446" s="1"/>
  <c r="AK114" i="447" s="1"/>
  <c r="AM114" i="447" s="1"/>
  <c r="AL114" i="448" s="1"/>
  <c r="AN114" i="448" s="1"/>
  <c r="AK114" i="449" s="1"/>
  <c r="AM114" i="449" s="1"/>
  <c r="AL114" i="450" s="1"/>
  <c r="AN114" i="450" s="1"/>
  <c r="AL114" i="451" s="1"/>
  <c r="AN114" i="451" s="1"/>
  <c r="AK114" i="452" s="1"/>
  <c r="AM114" i="452" s="1"/>
  <c r="AL114" i="453" s="1"/>
  <c r="AN114" i="453" s="1"/>
  <c r="AK114" i="454" s="1"/>
  <c r="AM114" i="454" s="1"/>
  <c r="AL114" i="455" s="1"/>
  <c r="AN114" i="455" s="1"/>
  <c r="AI94" i="445"/>
  <c r="AK94" i="445" s="1"/>
  <c r="AL94" i="446" s="1"/>
  <c r="AN94" i="446" s="1"/>
  <c r="AK94" i="447" s="1"/>
  <c r="AM94" i="447" s="1"/>
  <c r="AL94" i="448" s="1"/>
  <c r="AN94" i="448" s="1"/>
  <c r="AK94" i="449" s="1"/>
  <c r="AM94" i="449" s="1"/>
  <c r="AL94" i="450" s="1"/>
  <c r="AN94" i="450" s="1"/>
  <c r="AL94" i="451" s="1"/>
  <c r="AN94" i="451" s="1"/>
  <c r="AK94" i="452" s="1"/>
  <c r="AM94" i="452" s="1"/>
  <c r="AL94" i="453" s="1"/>
  <c r="AN94" i="453" s="1"/>
  <c r="AK94" i="454" s="1"/>
  <c r="AM94" i="454" s="1"/>
  <c r="AL94" i="455" s="1"/>
  <c r="AN94" i="455" s="1"/>
  <c r="AJ48" i="445"/>
  <c r="AL92" i="444"/>
  <c r="AN92" i="444" s="1"/>
  <c r="AI92" i="445" s="1"/>
  <c r="AK92" i="445" s="1"/>
  <c r="AL92" i="446" s="1"/>
  <c r="AN92" i="446" s="1"/>
  <c r="AK92" i="447" s="1"/>
  <c r="AM92" i="447" s="1"/>
  <c r="AL92" i="448" s="1"/>
  <c r="AN92" i="448" s="1"/>
  <c r="AK92" i="449" s="1"/>
  <c r="AM92" i="449" s="1"/>
  <c r="AL92" i="450" s="1"/>
  <c r="AN92" i="450" s="1"/>
  <c r="AL92" i="451" s="1"/>
  <c r="AN92" i="451" s="1"/>
  <c r="AK92" i="452" s="1"/>
  <c r="AM92" i="452" s="1"/>
  <c r="AL92" i="453" s="1"/>
  <c r="AN92" i="453" s="1"/>
  <c r="AK92" i="454" s="1"/>
  <c r="AM92" i="454" s="1"/>
  <c r="AL92" i="455" s="1"/>
  <c r="AN92" i="455" s="1"/>
  <c r="AL88" i="444"/>
  <c r="AN88" i="444" s="1"/>
  <c r="AI88" i="445" s="1"/>
  <c r="AK88" i="445" s="1"/>
  <c r="AL88" i="446" s="1"/>
  <c r="AN88" i="446" s="1"/>
  <c r="AK88" i="447" s="1"/>
  <c r="AM88" i="447" s="1"/>
  <c r="AL88" i="448" s="1"/>
  <c r="AN88" i="448" s="1"/>
  <c r="AK88" i="449" s="1"/>
  <c r="AM88" i="449" s="1"/>
  <c r="AL88" i="450" s="1"/>
  <c r="AN88" i="450" s="1"/>
  <c r="AL88" i="451" s="1"/>
  <c r="AN88" i="451" s="1"/>
  <c r="AK88" i="452" s="1"/>
  <c r="AM88" i="452" s="1"/>
  <c r="AL88" i="453" s="1"/>
  <c r="AN88" i="453" s="1"/>
  <c r="AK88" i="454" s="1"/>
  <c r="AM88" i="454" s="1"/>
  <c r="AL88" i="455" s="1"/>
  <c r="AN88" i="455" s="1"/>
  <c r="AL67" i="444"/>
  <c r="AL89" i="444"/>
  <c r="AN89" i="444" s="1"/>
  <c r="AI89" i="445" s="1"/>
  <c r="AK89" i="445" s="1"/>
  <c r="AL89" i="446" s="1"/>
  <c r="AN89" i="446" s="1"/>
  <c r="AK89" i="447" s="1"/>
  <c r="AM89" i="447" s="1"/>
  <c r="AL89" i="448" s="1"/>
  <c r="AN89" i="448" s="1"/>
  <c r="AK89" i="449" s="1"/>
  <c r="AM89" i="449" s="1"/>
  <c r="AL89" i="450" s="1"/>
  <c r="AN89" i="450" s="1"/>
  <c r="AL89" i="451" s="1"/>
  <c r="AN89" i="451" s="1"/>
  <c r="AK89" i="452" s="1"/>
  <c r="AM89" i="452" s="1"/>
  <c r="AL89" i="453" s="1"/>
  <c r="AN89" i="453" s="1"/>
  <c r="AK89" i="454" s="1"/>
  <c r="AM89" i="454" s="1"/>
  <c r="AL89" i="455" s="1"/>
  <c r="AN89" i="455" s="1"/>
  <c r="AI107" i="445"/>
  <c r="AK107" i="445" s="1"/>
  <c r="AL107" i="446" s="1"/>
  <c r="AN107" i="446" s="1"/>
  <c r="AK107" i="447" s="1"/>
  <c r="AM107" i="447" s="1"/>
  <c r="AL107" i="448" s="1"/>
  <c r="AN107" i="448" s="1"/>
  <c r="AK107" i="449" s="1"/>
  <c r="AM107" i="449" s="1"/>
  <c r="AL107" i="450" s="1"/>
  <c r="AN107" i="450" s="1"/>
  <c r="AL107" i="451" s="1"/>
  <c r="AN107" i="451" s="1"/>
  <c r="AK107" i="452" s="1"/>
  <c r="AM107" i="452" s="1"/>
  <c r="AL107" i="453" s="1"/>
  <c r="AN107" i="453" s="1"/>
  <c r="AK107" i="454" s="1"/>
  <c r="AM107" i="454" s="1"/>
  <c r="AL107" i="455" s="1"/>
  <c r="AN107" i="455" s="1"/>
  <c r="AI99" i="445"/>
  <c r="AK99" i="445" s="1"/>
  <c r="AL99" i="446" s="1"/>
  <c r="AN99" i="446" s="1"/>
  <c r="AK99" i="447" s="1"/>
  <c r="AM99" i="447" s="1"/>
  <c r="AL99" i="448" s="1"/>
  <c r="AN99" i="448" s="1"/>
  <c r="AK99" i="449" s="1"/>
  <c r="AM99" i="449" s="1"/>
  <c r="AL99" i="450" s="1"/>
  <c r="AN99" i="450" s="1"/>
  <c r="AL99" i="451" s="1"/>
  <c r="AN99" i="451" s="1"/>
  <c r="AK99" i="452" s="1"/>
  <c r="AM99" i="452" s="1"/>
  <c r="AL99" i="453" s="1"/>
  <c r="AN99" i="453" s="1"/>
  <c r="AK99" i="454" s="1"/>
  <c r="AM99" i="454" s="1"/>
  <c r="AL99" i="455" s="1"/>
  <c r="AN99" i="455" s="1"/>
  <c r="AI90" i="445"/>
  <c r="AK90" i="445" s="1"/>
  <c r="AL90" i="446" s="1"/>
  <c r="AN90" i="446" s="1"/>
  <c r="AK90" i="447" s="1"/>
  <c r="AM90" i="447" s="1"/>
  <c r="AL90" i="448" s="1"/>
  <c r="AN90" i="448" s="1"/>
  <c r="AK90" i="449" s="1"/>
  <c r="AM90" i="449" s="1"/>
  <c r="AL90" i="450" s="1"/>
  <c r="AN90" i="450" s="1"/>
  <c r="AL90" i="451" s="1"/>
  <c r="AN90" i="451" s="1"/>
  <c r="AK90" i="452" s="1"/>
  <c r="AM90" i="452" s="1"/>
  <c r="AL90" i="453" s="1"/>
  <c r="AN90" i="453" s="1"/>
  <c r="AK90" i="454" s="1"/>
  <c r="AM90" i="454" s="1"/>
  <c r="AL90" i="455" s="1"/>
  <c r="AN90" i="455" s="1"/>
  <c r="AL93" i="444"/>
  <c r="AN93" i="444" s="1"/>
  <c r="AI93" i="445" s="1"/>
  <c r="AK93" i="445" s="1"/>
  <c r="AL93" i="446" s="1"/>
  <c r="AN93" i="446" s="1"/>
  <c r="AK93" i="447" s="1"/>
  <c r="AM93" i="447" s="1"/>
  <c r="AL93" i="448" s="1"/>
  <c r="AN93" i="448" s="1"/>
  <c r="AK93" i="449" s="1"/>
  <c r="AM93" i="449" s="1"/>
  <c r="AL93" i="450" s="1"/>
  <c r="AN93" i="450" s="1"/>
  <c r="AL93" i="451" s="1"/>
  <c r="AN93" i="451" s="1"/>
  <c r="AK93" i="452" s="1"/>
  <c r="AM93" i="452" s="1"/>
  <c r="AL93" i="453" s="1"/>
  <c r="AN93" i="453" s="1"/>
  <c r="AK93" i="454" s="1"/>
  <c r="AM93" i="454" s="1"/>
  <c r="AL93" i="455" s="1"/>
  <c r="AN93" i="455" s="1"/>
  <c r="AL73" i="444"/>
  <c r="B56" i="444"/>
  <c r="C56" i="444" s="1"/>
  <c r="D56" i="444" s="1"/>
  <c r="E56" i="444" s="1"/>
  <c r="F56" i="444" s="1"/>
  <c r="G56" i="444" s="1"/>
  <c r="H56" i="444" s="1"/>
  <c r="I56" i="444" s="1"/>
  <c r="J56" i="444" s="1"/>
  <c r="K56" i="444" s="1"/>
  <c r="L56" i="444" s="1"/>
  <c r="M56" i="444" s="1"/>
  <c r="N56" i="444" s="1"/>
  <c r="O56" i="444" s="1"/>
  <c r="P56" i="444" s="1"/>
  <c r="N12" i="451"/>
  <c r="O10" i="451"/>
  <c r="N11" i="451"/>
  <c r="N54" i="451" s="1"/>
  <c r="N9" i="451"/>
  <c r="N49" i="451"/>
  <c r="N11" i="448"/>
  <c r="N54" i="448" s="1"/>
  <c r="N9" i="448"/>
  <c r="O10" i="448"/>
  <c r="N12" i="448"/>
  <c r="N49" i="448"/>
  <c r="M11" i="455"/>
  <c r="M54" i="455" s="1"/>
  <c r="O11" i="445"/>
  <c r="O54" i="445" s="1"/>
  <c r="P12" i="445"/>
  <c r="P11" i="445"/>
  <c r="P54" i="445" s="1"/>
  <c r="Q10" i="445"/>
  <c r="P9" i="445"/>
  <c r="P49" i="445"/>
  <c r="N82" i="449"/>
  <c r="N11" i="450"/>
  <c r="N54" i="450" s="1"/>
  <c r="N9" i="450"/>
  <c r="N12" i="450"/>
  <c r="O10" i="450"/>
  <c r="N49" i="450"/>
  <c r="N11" i="447"/>
  <c r="N54" i="447" s="1"/>
  <c r="M73" i="454"/>
  <c r="M82" i="454"/>
  <c r="N9" i="446"/>
  <c r="O10" i="446"/>
  <c r="N11" i="446"/>
  <c r="N54" i="446" s="1"/>
  <c r="N12" i="446"/>
  <c r="N49" i="446"/>
  <c r="M11" i="452"/>
  <c r="M54" i="452" s="1"/>
  <c r="I9" i="27"/>
  <c r="I11" i="27" s="1"/>
  <c r="A111" i="455"/>
  <c r="AG111" i="455" s="1"/>
  <c r="A107" i="455"/>
  <c r="AG107" i="455" s="1"/>
  <c r="A103" i="455"/>
  <c r="AG103" i="455" s="1"/>
  <c r="A99" i="455"/>
  <c r="AG99" i="455" s="1"/>
  <c r="A110" i="455"/>
  <c r="AG110" i="455" s="1"/>
  <c r="A106" i="455"/>
  <c r="AG106" i="455" s="1"/>
  <c r="A102" i="455"/>
  <c r="AG102" i="455" s="1"/>
  <c r="A98" i="455"/>
  <c r="AG98" i="455" s="1"/>
  <c r="A109" i="455"/>
  <c r="AG109" i="455" s="1"/>
  <c r="A105" i="455"/>
  <c r="AG105" i="455" s="1"/>
  <c r="A101" i="455"/>
  <c r="AG101" i="455" s="1"/>
  <c r="A97" i="455"/>
  <c r="AG97" i="455" s="1"/>
  <c r="A108" i="455"/>
  <c r="AG108" i="455" s="1"/>
  <c r="A104" i="455"/>
  <c r="AG104" i="455" s="1"/>
  <c r="A100" i="455"/>
  <c r="AG100" i="455" s="1"/>
  <c r="A108" i="454"/>
  <c r="AF108" i="454" s="1"/>
  <c r="A104" i="454"/>
  <c r="AF104" i="454" s="1"/>
  <c r="A100" i="454"/>
  <c r="AF100" i="454" s="1"/>
  <c r="A109" i="454"/>
  <c r="AF109" i="454" s="1"/>
  <c r="A105" i="454"/>
  <c r="AF105" i="454" s="1"/>
  <c r="A101" i="454"/>
  <c r="AF101" i="454" s="1"/>
  <c r="A97" i="454"/>
  <c r="AF97" i="454" s="1"/>
  <c r="A111" i="454"/>
  <c r="AF111" i="454" s="1"/>
  <c r="A110" i="454"/>
  <c r="AF110" i="454" s="1"/>
  <c r="A107" i="454"/>
  <c r="AF107" i="454" s="1"/>
  <c r="A106" i="454"/>
  <c r="AF106" i="454" s="1"/>
  <c r="A103" i="454"/>
  <c r="AF103" i="454" s="1"/>
  <c r="A102" i="454"/>
  <c r="AF102" i="454" s="1"/>
  <c r="A99" i="454"/>
  <c r="AF99" i="454" s="1"/>
  <c r="A98" i="454"/>
  <c r="AF98" i="454" s="1"/>
  <c r="A111" i="453"/>
  <c r="AG111" i="453" s="1"/>
  <c r="A107" i="453"/>
  <c r="AG107" i="453" s="1"/>
  <c r="A103" i="453"/>
  <c r="AG103" i="453" s="1"/>
  <c r="A99" i="453"/>
  <c r="AG99" i="453" s="1"/>
  <c r="A109" i="453"/>
  <c r="AG109" i="453" s="1"/>
  <c r="A108" i="453"/>
  <c r="AG108" i="453" s="1"/>
  <c r="A104" i="453"/>
  <c r="AG104" i="453" s="1"/>
  <c r="A100" i="453"/>
  <c r="AG100" i="453" s="1"/>
  <c r="A110" i="453"/>
  <c r="AG110" i="453" s="1"/>
  <c r="A106" i="453"/>
  <c r="AG106" i="453" s="1"/>
  <c r="A105" i="453"/>
  <c r="AG105" i="453" s="1"/>
  <c r="A102" i="453"/>
  <c r="AG102" i="453" s="1"/>
  <c r="A101" i="453"/>
  <c r="AG101" i="453" s="1"/>
  <c r="A98" i="453"/>
  <c r="AG98" i="453" s="1"/>
  <c r="A97" i="453"/>
  <c r="AG97" i="453" s="1"/>
  <c r="A109" i="452"/>
  <c r="AF109" i="452" s="1"/>
  <c r="A105" i="452"/>
  <c r="AF105" i="452" s="1"/>
  <c r="A101" i="452"/>
  <c r="AF101" i="452" s="1"/>
  <c r="A97" i="452"/>
  <c r="AF97" i="452" s="1"/>
  <c r="A108" i="452"/>
  <c r="AF108" i="452" s="1"/>
  <c r="A104" i="452"/>
  <c r="AF104" i="452" s="1"/>
  <c r="A100" i="452"/>
  <c r="AF100" i="452" s="1"/>
  <c r="A111" i="452"/>
  <c r="AF111" i="452" s="1"/>
  <c r="A107" i="452"/>
  <c r="AF107" i="452" s="1"/>
  <c r="A103" i="452"/>
  <c r="AF103" i="452" s="1"/>
  <c r="A99" i="452"/>
  <c r="AF99" i="452" s="1"/>
  <c r="A111" i="451"/>
  <c r="AG111" i="451" s="1"/>
  <c r="A107" i="451"/>
  <c r="AG107" i="451" s="1"/>
  <c r="A103" i="451"/>
  <c r="AG103" i="451" s="1"/>
  <c r="A99" i="451"/>
  <c r="AG99" i="451" s="1"/>
  <c r="A110" i="452"/>
  <c r="AF110" i="452" s="1"/>
  <c r="A106" i="452"/>
  <c r="AF106" i="452" s="1"/>
  <c r="A102" i="452"/>
  <c r="AF102" i="452" s="1"/>
  <c r="A98" i="452"/>
  <c r="AF98" i="452" s="1"/>
  <c r="A110" i="451"/>
  <c r="AG110" i="451" s="1"/>
  <c r="A106" i="451"/>
  <c r="AG106" i="451" s="1"/>
  <c r="A102" i="451"/>
  <c r="AG102" i="451" s="1"/>
  <c r="A98" i="451"/>
  <c r="AG98" i="451" s="1"/>
  <c r="A109" i="451"/>
  <c r="AG109" i="451" s="1"/>
  <c r="A105" i="451"/>
  <c r="AG105" i="451" s="1"/>
  <c r="A101" i="451"/>
  <c r="AG101" i="451" s="1"/>
  <c r="A97" i="451"/>
  <c r="AG97" i="451" s="1"/>
  <c r="A108" i="451"/>
  <c r="AG108" i="451" s="1"/>
  <c r="A104" i="451"/>
  <c r="AG104" i="451" s="1"/>
  <c r="A100" i="451"/>
  <c r="AG100" i="451" s="1"/>
  <c r="A111" i="450"/>
  <c r="AG111" i="450" s="1"/>
  <c r="A107" i="450"/>
  <c r="AG107" i="450" s="1"/>
  <c r="A103" i="450"/>
  <c r="AG103" i="450" s="1"/>
  <c r="A99" i="450"/>
  <c r="AG99" i="450" s="1"/>
  <c r="A110" i="450"/>
  <c r="AG110" i="450" s="1"/>
  <c r="A106" i="450"/>
  <c r="AG106" i="450" s="1"/>
  <c r="A102" i="450"/>
  <c r="AG102" i="450" s="1"/>
  <c r="A98" i="450"/>
  <c r="AG98" i="450" s="1"/>
  <c r="A109" i="450"/>
  <c r="AG109" i="450" s="1"/>
  <c r="A105" i="450"/>
  <c r="AG105" i="450" s="1"/>
  <c r="A101" i="450"/>
  <c r="AG101" i="450" s="1"/>
  <c r="A97" i="450"/>
  <c r="AG97" i="450" s="1"/>
  <c r="A108" i="450"/>
  <c r="AG108" i="450" s="1"/>
  <c r="A104" i="450"/>
  <c r="AG104" i="450" s="1"/>
  <c r="A100" i="450"/>
  <c r="AG100" i="450" s="1"/>
  <c r="A109" i="449"/>
  <c r="AF109" i="449" s="1"/>
  <c r="A105" i="449"/>
  <c r="AF105" i="449" s="1"/>
  <c r="A101" i="449"/>
  <c r="AF101" i="449" s="1"/>
  <c r="A97" i="449"/>
  <c r="AF97" i="449" s="1"/>
  <c r="A108" i="449"/>
  <c r="AF108" i="449" s="1"/>
  <c r="A104" i="449"/>
  <c r="AF104" i="449" s="1"/>
  <c r="A100" i="449"/>
  <c r="AF100" i="449" s="1"/>
  <c r="A111" i="449"/>
  <c r="AF111" i="449" s="1"/>
  <c r="A107" i="449"/>
  <c r="AF107" i="449" s="1"/>
  <c r="A103" i="449"/>
  <c r="AF103" i="449" s="1"/>
  <c r="A99" i="449"/>
  <c r="AF99" i="449" s="1"/>
  <c r="A110" i="449"/>
  <c r="AF110" i="449" s="1"/>
  <c r="A106" i="449"/>
  <c r="AF106" i="449" s="1"/>
  <c r="A102" i="449"/>
  <c r="AF102" i="449" s="1"/>
  <c r="A98" i="449"/>
  <c r="AF98" i="449" s="1"/>
  <c r="A108" i="448"/>
  <c r="AG108" i="448" s="1"/>
  <c r="A104" i="448"/>
  <c r="AG104" i="448" s="1"/>
  <c r="A100" i="448"/>
  <c r="AG100" i="448" s="1"/>
  <c r="A111" i="448"/>
  <c r="AG111" i="448" s="1"/>
  <c r="A107" i="448"/>
  <c r="AG107" i="448" s="1"/>
  <c r="A103" i="448"/>
  <c r="AG103" i="448" s="1"/>
  <c r="A99" i="448"/>
  <c r="AG99" i="448" s="1"/>
  <c r="A110" i="448"/>
  <c r="AG110" i="448" s="1"/>
  <c r="A106" i="448"/>
  <c r="AG106" i="448" s="1"/>
  <c r="A102" i="448"/>
  <c r="AG102" i="448" s="1"/>
  <c r="A98" i="448"/>
  <c r="AG98" i="448" s="1"/>
  <c r="A109" i="448"/>
  <c r="AG109" i="448" s="1"/>
  <c r="A105" i="448"/>
  <c r="AG105" i="448" s="1"/>
  <c r="A101" i="448"/>
  <c r="AG101" i="448" s="1"/>
  <c r="A97" i="448"/>
  <c r="AG97" i="448" s="1"/>
  <c r="A109" i="447"/>
  <c r="AF109" i="447" s="1"/>
  <c r="A105" i="447"/>
  <c r="AF105" i="447" s="1"/>
  <c r="A101" i="447"/>
  <c r="AF101" i="447" s="1"/>
  <c r="A97" i="447"/>
  <c r="AF97" i="447" s="1"/>
  <c r="A111" i="446"/>
  <c r="AG111" i="446" s="1"/>
  <c r="A107" i="446"/>
  <c r="AG107" i="446" s="1"/>
  <c r="A103" i="446"/>
  <c r="AG103" i="446" s="1"/>
  <c r="A99" i="446"/>
  <c r="AG99" i="446" s="1"/>
  <c r="A108" i="447"/>
  <c r="AF108" i="447" s="1"/>
  <c r="A104" i="447"/>
  <c r="AF104" i="447" s="1"/>
  <c r="A100" i="447"/>
  <c r="AF100" i="447" s="1"/>
  <c r="A110" i="446"/>
  <c r="AG110" i="446" s="1"/>
  <c r="A106" i="446"/>
  <c r="AG106" i="446" s="1"/>
  <c r="A102" i="446"/>
  <c r="AG102" i="446" s="1"/>
  <c r="A98" i="446"/>
  <c r="AG98" i="446" s="1"/>
  <c r="A109" i="445"/>
  <c r="AD109" i="445" s="1"/>
  <c r="A105" i="445"/>
  <c r="AD105" i="445" s="1"/>
  <c r="A101" i="445"/>
  <c r="AD101" i="445" s="1"/>
  <c r="A97" i="445"/>
  <c r="AD97" i="445" s="1"/>
  <c r="A111" i="447"/>
  <c r="AF111" i="447" s="1"/>
  <c r="A107" i="447"/>
  <c r="AF107" i="447" s="1"/>
  <c r="A103" i="447"/>
  <c r="AF103" i="447" s="1"/>
  <c r="A99" i="447"/>
  <c r="AF99" i="447" s="1"/>
  <c r="A109" i="446"/>
  <c r="AG109" i="446" s="1"/>
  <c r="A105" i="446"/>
  <c r="AG105" i="446" s="1"/>
  <c r="A101" i="446"/>
  <c r="AG101" i="446" s="1"/>
  <c r="A97" i="446"/>
  <c r="AG97" i="446" s="1"/>
  <c r="A108" i="445"/>
  <c r="AD108" i="445" s="1"/>
  <c r="A104" i="445"/>
  <c r="AD104" i="445" s="1"/>
  <c r="A100" i="445"/>
  <c r="AD100" i="445" s="1"/>
  <c r="A110" i="447"/>
  <c r="AF110" i="447" s="1"/>
  <c r="A106" i="447"/>
  <c r="AF106" i="447" s="1"/>
  <c r="A102" i="447"/>
  <c r="AF102" i="447" s="1"/>
  <c r="A98" i="447"/>
  <c r="AF98" i="447" s="1"/>
  <c r="A110" i="444"/>
  <c r="AG110" i="444" s="1"/>
  <c r="A106" i="444"/>
  <c r="AG106" i="444" s="1"/>
  <c r="A102" i="444"/>
  <c r="AG102" i="444" s="1"/>
  <c r="A98" i="444"/>
  <c r="AG98" i="444" s="1"/>
  <c r="A108" i="446"/>
  <c r="AG108" i="446" s="1"/>
  <c r="A104" i="446"/>
  <c r="AG104" i="446" s="1"/>
  <c r="A100" i="446"/>
  <c r="AG100" i="446" s="1"/>
  <c r="A111" i="445"/>
  <c r="AD111" i="445" s="1"/>
  <c r="A110" i="445"/>
  <c r="AD110" i="445" s="1"/>
  <c r="A107" i="445"/>
  <c r="AD107" i="445" s="1"/>
  <c r="A106" i="445"/>
  <c r="AD106" i="445" s="1"/>
  <c r="A103" i="445"/>
  <c r="AD103" i="445" s="1"/>
  <c r="A102" i="445"/>
  <c r="AD102" i="445" s="1"/>
  <c r="A99" i="445"/>
  <c r="AD99" i="445" s="1"/>
  <c r="A98" i="445"/>
  <c r="AD98" i="445" s="1"/>
  <c r="A109" i="444"/>
  <c r="AG109" i="444" s="1"/>
  <c r="A105" i="444"/>
  <c r="AG105" i="444" s="1"/>
  <c r="A101" i="444"/>
  <c r="AG101" i="444" s="1"/>
  <c r="A97" i="444"/>
  <c r="AG97" i="444" s="1"/>
  <c r="A108" i="444"/>
  <c r="AG108" i="444" s="1"/>
  <c r="A104" i="444"/>
  <c r="AG104" i="444" s="1"/>
  <c r="A100" i="444"/>
  <c r="AG100" i="444" s="1"/>
  <c r="A111" i="444"/>
  <c r="AG111" i="444" s="1"/>
  <c r="A107" i="444"/>
  <c r="AG107" i="444" s="1"/>
  <c r="A103" i="444"/>
  <c r="AG103" i="444" s="1"/>
  <c r="A99" i="444"/>
  <c r="AG99" i="444" s="1"/>
  <c r="M82" i="451"/>
  <c r="M82" i="448"/>
  <c r="O11" i="449"/>
  <c r="O54" i="449" s="1"/>
  <c r="P10" i="449"/>
  <c r="O49" i="449"/>
  <c r="O12" i="449"/>
  <c r="O9" i="449"/>
  <c r="M82" i="450"/>
  <c r="N11" i="454"/>
  <c r="N54" i="454" s="1"/>
  <c r="O10" i="454"/>
  <c r="N12" i="454"/>
  <c r="N9" i="454"/>
  <c r="N49" i="454"/>
  <c r="M11" i="453"/>
  <c r="M54" i="453" s="1"/>
  <c r="M73" i="449"/>
  <c r="M11" i="446"/>
  <c r="M54" i="446" s="1"/>
  <c r="B42" i="1"/>
  <c r="S7" i="444" s="1"/>
  <c r="S7" i="445" s="1"/>
  <c r="S7" i="446" s="1"/>
  <c r="S7" i="447" s="1"/>
  <c r="L9" i="27"/>
  <c r="L17" i="27" s="1"/>
  <c r="F9" i="27"/>
  <c r="F31" i="27" s="1"/>
  <c r="I29" i="1"/>
  <c r="M9" i="27"/>
  <c r="M21" i="27" s="1"/>
  <c r="I27" i="27"/>
  <c r="I20" i="27"/>
  <c r="I16" i="27"/>
  <c r="I13" i="27"/>
  <c r="I24" i="27"/>
  <c r="I26" i="27"/>
  <c r="I21" i="27"/>
  <c r="I31" i="27"/>
  <c r="B41" i="1"/>
  <c r="F24" i="27"/>
  <c r="F12" i="27"/>
  <c r="F32" i="27"/>
  <c r="F22" i="27"/>
  <c r="F26" i="27"/>
  <c r="M25" i="27"/>
  <c r="B8" i="28"/>
  <c r="B19" i="28" s="1"/>
  <c r="N9" i="27"/>
  <c r="N18" i="27" s="1"/>
  <c r="F25" i="1"/>
  <c r="O9" i="27"/>
  <c r="O30" i="27" s="1"/>
  <c r="C9" i="27"/>
  <c r="H9" i="27"/>
  <c r="K9" i="27"/>
  <c r="P9" i="27"/>
  <c r="P22" i="27" s="1"/>
  <c r="B9" i="27"/>
  <c r="D9" i="27"/>
  <c r="E9" i="27"/>
  <c r="J9" i="27"/>
  <c r="G9" i="27"/>
  <c r="G27" i="27" s="1"/>
  <c r="E17" i="1"/>
  <c r="E20" i="1"/>
  <c r="E16" i="1"/>
  <c r="E22" i="1"/>
  <c r="E21" i="1"/>
  <c r="E23" i="1"/>
  <c r="E13" i="1"/>
  <c r="E24" i="1"/>
  <c r="E15" i="1"/>
  <c r="E14" i="1"/>
  <c r="E19" i="1"/>
  <c r="E18" i="1"/>
  <c r="AH2" i="31"/>
  <c r="O25" i="27"/>
  <c r="B43" i="1"/>
  <c r="T7" i="444" s="1"/>
  <c r="H52" i="444" s="1"/>
  <c r="F18" i="27"/>
  <c r="F11" i="27"/>
  <c r="F25" i="27"/>
  <c r="F20" i="27"/>
  <c r="I17" i="27"/>
  <c r="B31" i="27"/>
  <c r="I19" i="27"/>
  <c r="I18" i="27"/>
  <c r="O3" i="31"/>
  <c r="I28" i="27"/>
  <c r="I34" i="27"/>
  <c r="B24" i="27"/>
  <c r="B27" i="27"/>
  <c r="B11" i="27"/>
  <c r="B14" i="27"/>
  <c r="B26" i="27"/>
  <c r="R3" i="1"/>
  <c r="O19" i="27"/>
  <c r="G25" i="27"/>
  <c r="P25" i="27"/>
  <c r="B40" i="1"/>
  <c r="F34" i="27"/>
  <c r="F27" i="27"/>
  <c r="F13" i="27"/>
  <c r="G12" i="27"/>
  <c r="I30" i="27"/>
  <c r="AF2" i="31"/>
  <c r="B39" i="1"/>
  <c r="I12" i="27"/>
  <c r="H14" i="1"/>
  <c r="V2" i="445" s="1"/>
  <c r="P24" i="27"/>
  <c r="B12" i="27"/>
  <c r="B16" i="27"/>
  <c r="B20" i="27"/>
  <c r="B28" i="27"/>
  <c r="D15" i="15"/>
  <c r="X10" i="15"/>
  <c r="AD25" i="15"/>
  <c r="W18" i="15"/>
  <c r="AL24" i="15"/>
  <c r="AK15" i="15"/>
  <c r="AD15" i="15"/>
  <c r="AC10" i="15"/>
  <c r="K17" i="15"/>
  <c r="AM26" i="15"/>
  <c r="AO24" i="15"/>
  <c r="AO21" i="15"/>
  <c r="W19" i="15"/>
  <c r="AL10" i="15"/>
  <c r="T10" i="15"/>
  <c r="K16" i="15"/>
  <c r="K20" i="15"/>
  <c r="AG25" i="15"/>
  <c r="J25" i="15"/>
  <c r="AD21" i="15"/>
  <c r="AO26" i="15"/>
  <c r="AO19" i="15"/>
  <c r="AD10" i="15"/>
  <c r="AK20" i="15"/>
  <c r="AK21" i="15"/>
  <c r="AE18" i="15"/>
  <c r="W10" i="15"/>
  <c r="AO23" i="15"/>
  <c r="Y26" i="15"/>
  <c r="W21" i="15"/>
  <c r="Y20" i="15"/>
  <c r="Z10" i="15"/>
  <c r="K10" i="15"/>
  <c r="AL25" i="15"/>
  <c r="AC25" i="15"/>
  <c r="AI17" i="15"/>
  <c r="AG19" i="15"/>
  <c r="AG17" i="15"/>
  <c r="AO20" i="15"/>
  <c r="Y23" i="15"/>
  <c r="Y15" i="15"/>
  <c r="Y22" i="15"/>
  <c r="W15" i="15"/>
  <c r="AE10" i="15"/>
  <c r="AF10" i="15"/>
  <c r="K19" i="15"/>
  <c r="AE19" i="15"/>
  <c r="J23" i="15"/>
  <c r="AC23" i="15"/>
  <c r="AI20" i="15"/>
  <c r="AJ17" i="15"/>
  <c r="AJ15" i="15"/>
  <c r="U10" i="15"/>
  <c r="Y19" i="15"/>
  <c r="Y21" i="15"/>
  <c r="AJ10" i="15"/>
  <c r="AG10" i="15"/>
  <c r="AJ26" i="15"/>
  <c r="AH23" i="15"/>
  <c r="AG22" i="15"/>
  <c r="AL22" i="15"/>
  <c r="AF22" i="15"/>
  <c r="AF19" i="15"/>
  <c r="AI26" i="15"/>
  <c r="AH19" i="15"/>
  <c r="S24" i="15"/>
  <c r="AO16" i="15"/>
  <c r="AO22" i="15"/>
  <c r="AO17" i="15"/>
  <c r="Y16" i="15"/>
  <c r="AO15" i="15"/>
  <c r="Y18" i="15"/>
  <c r="Y25" i="15"/>
  <c r="W26" i="15"/>
  <c r="Y24" i="15"/>
  <c r="M10" i="15"/>
  <c r="W17" i="15"/>
  <c r="L10" i="15"/>
  <c r="W25" i="15"/>
  <c r="AI10" i="15"/>
  <c r="W16" i="15"/>
  <c r="J10" i="15"/>
  <c r="AM10" i="15"/>
  <c r="K25" i="15"/>
  <c r="K26" i="15"/>
  <c r="AF26" i="15"/>
  <c r="K24" i="15"/>
  <c r="K21" i="15"/>
  <c r="AH26" i="15"/>
  <c r="P24" i="15"/>
  <c r="P22" i="15"/>
  <c r="AC20" i="15"/>
  <c r="AG18" i="15"/>
  <c r="AL16" i="15"/>
  <c r="AL26" i="15"/>
  <c r="AC24" i="15"/>
  <c r="AD22" i="15"/>
  <c r="AI25" i="15"/>
  <c r="AH20" i="15"/>
  <c r="AL21" i="15"/>
  <c r="AC19" i="15"/>
  <c r="AM18" i="15"/>
  <c r="AD16" i="15"/>
  <c r="I15" i="15"/>
  <c r="S16" i="15"/>
  <c r="Y10" i="15"/>
  <c r="AO18" i="15"/>
  <c r="V10" i="15"/>
  <c r="AO25" i="15"/>
  <c r="AO10" i="15"/>
  <c r="Y17" i="15"/>
  <c r="W22" i="15"/>
  <c r="W24" i="15"/>
  <c r="I10" i="15"/>
  <c r="AA10" i="15"/>
  <c r="W23" i="15"/>
  <c r="P10" i="15"/>
  <c r="W20" i="15"/>
  <c r="AH10" i="15"/>
  <c r="AK10" i="15"/>
  <c r="K22" i="15"/>
  <c r="K23" i="15"/>
  <c r="J26" i="15"/>
  <c r="AF24" i="15"/>
  <c r="AM25" i="15"/>
  <c r="AG23" i="15"/>
  <c r="AI21" i="15"/>
  <c r="AM19" i="15"/>
  <c r="P18" i="15"/>
  <c r="K15" i="15"/>
  <c r="P26" i="15"/>
  <c r="AK23" i="15"/>
  <c r="AH24" i="15"/>
  <c r="AI23" i="15"/>
  <c r="AM22" i="15"/>
  <c r="AC21" i="15"/>
  <c r="AC32" i="15" s="1"/>
  <c r="AD19" i="15"/>
  <c r="AC17" i="15"/>
  <c r="AI16" i="15"/>
  <c r="AC15" i="15"/>
  <c r="AH17" i="15"/>
  <c r="S20" i="15"/>
  <c r="S26" i="15"/>
  <c r="S23" i="15"/>
  <c r="S19" i="15"/>
  <c r="S15" i="15"/>
  <c r="AM24" i="15"/>
  <c r="P17" i="15"/>
  <c r="P15" i="15"/>
  <c r="AD18" i="15"/>
  <c r="AF16" i="15"/>
  <c r="J15" i="15"/>
  <c r="J21" i="15"/>
  <c r="AI15" i="15"/>
  <c r="AI27" i="15" s="1"/>
  <c r="AJ16" i="15"/>
  <c r="AJ21" i="15"/>
  <c r="J20" i="15"/>
  <c r="AL17" i="15"/>
  <c r="I20" i="15"/>
  <c r="AI22" i="15"/>
  <c r="AK19" i="15"/>
  <c r="AF23" i="15"/>
  <c r="AH18" i="15"/>
  <c r="AE25" i="15"/>
  <c r="AL19" i="15"/>
  <c r="I21" i="15"/>
  <c r="AD24" i="15"/>
  <c r="AE22" i="15"/>
  <c r="AC26" i="15"/>
  <c r="AG24" i="15"/>
  <c r="S25" i="15"/>
  <c r="S21" i="15"/>
  <c r="S17" i="15"/>
  <c r="AH15" i="15"/>
  <c r="AE15" i="15"/>
  <c r="AG15" i="15"/>
  <c r="AJ20" i="15"/>
  <c r="AL15" i="15"/>
  <c r="I18" i="15"/>
  <c r="AF15" i="15"/>
  <c r="AE16" i="15"/>
  <c r="AK17" i="15"/>
  <c r="AE20" i="15"/>
  <c r="I17" i="15"/>
  <c r="AI18" i="15"/>
  <c r="AK24" i="15"/>
  <c r="AL18" i="15"/>
  <c r="J19" i="15"/>
  <c r="AM20" i="15"/>
  <c r="P19" i="15"/>
  <c r="AD20" i="15"/>
  <c r="J22" i="15"/>
  <c r="AF21" i="15"/>
  <c r="I23" i="15"/>
  <c r="I26" i="15"/>
  <c r="I25" i="15"/>
  <c r="J24" i="15"/>
  <c r="AD23" i="15"/>
  <c r="AK26" i="15"/>
  <c r="AJ25" i="15"/>
  <c r="AE24" i="15"/>
  <c r="AC22" i="15"/>
  <c r="AE21" i="15"/>
  <c r="AE32" i="15" s="1"/>
  <c r="AG20" i="15"/>
  <c r="AI19" i="15"/>
  <c r="AK18" i="15"/>
  <c r="AM17" i="15"/>
  <c r="I16" i="15"/>
  <c r="AI24" i="15"/>
  <c r="AE23" i="15"/>
  <c r="AH22" i="15"/>
  <c r="AD26" i="15"/>
  <c r="AM23" i="15"/>
  <c r="AG21" i="15"/>
  <c r="P21" i="15"/>
  <c r="AH21" i="15"/>
  <c r="AF20" i="15"/>
  <c r="AG26" i="15"/>
  <c r="AF18" i="15"/>
  <c r="AL20" i="15"/>
  <c r="AM16" i="15"/>
  <c r="AJ22" i="15"/>
  <c r="J16" i="15"/>
  <c r="J17" i="15"/>
  <c r="AJ18" i="15"/>
  <c r="AF17" i="15"/>
  <c r="P16" i="15"/>
  <c r="AK16" i="15"/>
  <c r="S18" i="15"/>
  <c r="AH25" i="15"/>
  <c r="AJ24" i="15"/>
  <c r="AL23" i="15"/>
  <c r="K18" i="15"/>
  <c r="AK22" i="15"/>
  <c r="AM21" i="15"/>
  <c r="P20" i="15"/>
  <c r="AC18" i="15"/>
  <c r="AE17" i="15"/>
  <c r="AH16" i="15"/>
  <c r="AE26" i="15"/>
  <c r="I24" i="15"/>
  <c r="I22" i="15"/>
  <c r="P25" i="15"/>
  <c r="AF25" i="15"/>
  <c r="P23" i="15"/>
  <c r="AK25" i="15"/>
  <c r="AJ23" i="15"/>
  <c r="J18" i="15"/>
  <c r="AJ19" i="15"/>
  <c r="AD17" i="15"/>
  <c r="AM15" i="15"/>
  <c r="AG16" i="15"/>
  <c r="I19" i="15"/>
  <c r="AC16" i="15"/>
  <c r="S10" i="15"/>
  <c r="S22" i="15"/>
  <c r="A30" i="27"/>
  <c r="A27" i="27"/>
  <c r="A32" i="27"/>
  <c r="A26" i="27"/>
  <c r="A24" i="27"/>
  <c r="A31" i="27"/>
  <c r="A28" i="27"/>
  <c r="A25" i="27"/>
  <c r="F5" i="1"/>
  <c r="AF27" i="15" l="1"/>
  <c r="AF84" i="449"/>
  <c r="AM32" i="15"/>
  <c r="AH32" i="15"/>
  <c r="AL27" i="15"/>
  <c r="AG27" i="15"/>
  <c r="AJ32" i="15"/>
  <c r="J27" i="15"/>
  <c r="AI32" i="15"/>
  <c r="W32" i="15"/>
  <c r="AD32" i="15"/>
  <c r="AD31" i="15"/>
  <c r="P32" i="15"/>
  <c r="S32" i="15"/>
  <c r="K31" i="15"/>
  <c r="K32" i="15"/>
  <c r="AO31" i="15"/>
  <c r="AK32" i="15"/>
  <c r="AK31" i="15"/>
  <c r="H52" i="447"/>
  <c r="S7" i="448"/>
  <c r="S7" i="449" s="1"/>
  <c r="S7" i="450" s="1"/>
  <c r="S7" i="451" s="1"/>
  <c r="S7" i="452" s="1"/>
  <c r="S7" i="453" s="1"/>
  <c r="AE31" i="15"/>
  <c r="AG32" i="15"/>
  <c r="AF32" i="15"/>
  <c r="AH27" i="15"/>
  <c r="I32" i="15"/>
  <c r="J32" i="15"/>
  <c r="P31" i="15"/>
  <c r="S27" i="15"/>
  <c r="AL32" i="15"/>
  <c r="Y32" i="15"/>
  <c r="AJ27" i="15"/>
  <c r="Y27" i="15"/>
  <c r="AO32" i="15"/>
  <c r="H52" i="451"/>
  <c r="V7" i="452"/>
  <c r="V7" i="453" s="1"/>
  <c r="V7" i="454" s="1"/>
  <c r="V7" i="455" s="1"/>
  <c r="F52" i="446"/>
  <c r="U7" i="447"/>
  <c r="U7" i="448" s="1"/>
  <c r="U7" i="449" s="1"/>
  <c r="U7" i="450" s="1"/>
  <c r="U7" i="451" s="1"/>
  <c r="T7" i="445"/>
  <c r="T7" i="446" s="1"/>
  <c r="T7" i="447" s="1"/>
  <c r="T7" i="448" s="1"/>
  <c r="M73" i="444"/>
  <c r="M75" i="444" s="1"/>
  <c r="L25" i="27"/>
  <c r="L31" i="27"/>
  <c r="L18" i="27"/>
  <c r="I15" i="27"/>
  <c r="F21" i="27"/>
  <c r="O11" i="27"/>
  <c r="I14" i="27"/>
  <c r="I32" i="27"/>
  <c r="F28" i="27"/>
  <c r="F30" i="27"/>
  <c r="I22" i="27"/>
  <c r="I25" i="27"/>
  <c r="L27" i="27"/>
  <c r="M82" i="452"/>
  <c r="H52" i="448"/>
  <c r="F52" i="448"/>
  <c r="G52" i="454"/>
  <c r="N82" i="447"/>
  <c r="G52" i="446"/>
  <c r="H52" i="450"/>
  <c r="M73" i="446"/>
  <c r="O53" i="445"/>
  <c r="O55" i="445" s="1"/>
  <c r="O82" i="445"/>
  <c r="M52" i="448"/>
  <c r="K75" i="452"/>
  <c r="K75" i="455"/>
  <c r="K76" i="455" s="1"/>
  <c r="J75" i="453"/>
  <c r="J76" i="453" s="1"/>
  <c r="J75" i="446"/>
  <c r="I75" i="454"/>
  <c r="K75" i="445"/>
  <c r="K76" i="445" s="1"/>
  <c r="H75" i="450"/>
  <c r="H76" i="450" s="1"/>
  <c r="H75" i="448"/>
  <c r="G75" i="446"/>
  <c r="G76" i="446" s="1"/>
  <c r="G75" i="454"/>
  <c r="E75" i="455"/>
  <c r="E76" i="455" s="1"/>
  <c r="F75" i="447"/>
  <c r="F76" i="447" s="1"/>
  <c r="F75" i="444"/>
  <c r="F76" i="444" s="1"/>
  <c r="D75" i="452"/>
  <c r="D76" i="452" s="1"/>
  <c r="D75" i="445"/>
  <c r="D76" i="445" s="1"/>
  <c r="C75" i="445"/>
  <c r="C76" i="445" s="1"/>
  <c r="B75" i="447"/>
  <c r="B76" i="447" s="1"/>
  <c r="AM76" i="446" s="1"/>
  <c r="B75" i="452"/>
  <c r="B76" i="452" s="1"/>
  <c r="AM76" i="451" s="1"/>
  <c r="K75" i="448"/>
  <c r="K76" i="448" s="1"/>
  <c r="L75" i="444"/>
  <c r="L76" i="444" s="1"/>
  <c r="K75" i="449"/>
  <c r="K76" i="449" s="1"/>
  <c r="J75" i="452"/>
  <c r="J76" i="452" s="1"/>
  <c r="I75" i="451"/>
  <c r="I76" i="451" s="1"/>
  <c r="I75" i="453"/>
  <c r="I76" i="453" s="1"/>
  <c r="J75" i="449"/>
  <c r="J76" i="449" s="1"/>
  <c r="H75" i="451"/>
  <c r="I75" i="449"/>
  <c r="I76" i="449" s="1"/>
  <c r="G75" i="448"/>
  <c r="G76" i="448" s="1"/>
  <c r="G75" i="455"/>
  <c r="G75" i="451"/>
  <c r="H75" i="445"/>
  <c r="F75" i="453"/>
  <c r="F75" i="452"/>
  <c r="F76" i="452" s="1"/>
  <c r="E75" i="454"/>
  <c r="E75" i="451"/>
  <c r="E76" i="451" s="1"/>
  <c r="E75" i="444"/>
  <c r="E76" i="444" s="1"/>
  <c r="D75" i="446"/>
  <c r="C75" i="452"/>
  <c r="D75" i="449"/>
  <c r="D76" i="449" s="1"/>
  <c r="E75" i="445"/>
  <c r="E76" i="445" s="1"/>
  <c r="D75" i="447"/>
  <c r="B75" i="446"/>
  <c r="B75" i="449"/>
  <c r="B76" i="449" s="1"/>
  <c r="AM76" i="448" s="1"/>
  <c r="B75" i="453"/>
  <c r="B76" i="453" s="1"/>
  <c r="AL76" i="452" s="1"/>
  <c r="L75" i="453"/>
  <c r="L76" i="453" s="1"/>
  <c r="K75" i="444"/>
  <c r="K76" i="444" s="1"/>
  <c r="G52" i="444"/>
  <c r="N52" i="444"/>
  <c r="M75" i="447"/>
  <c r="M76" i="447" s="1"/>
  <c r="K75" i="451"/>
  <c r="K76" i="451" s="1"/>
  <c r="K75" i="446"/>
  <c r="K76" i="446" s="1"/>
  <c r="J75" i="451"/>
  <c r="J76" i="451" s="1"/>
  <c r="I75" i="450"/>
  <c r="I75" i="447"/>
  <c r="I75" i="444"/>
  <c r="I76" i="444" s="1"/>
  <c r="H75" i="449"/>
  <c r="F75" i="449"/>
  <c r="D75" i="455"/>
  <c r="D76" i="455" s="1"/>
  <c r="B75" i="445"/>
  <c r="B76" i="445" s="1"/>
  <c r="AM76" i="444" s="1"/>
  <c r="AJ72" i="455"/>
  <c r="P4" i="455"/>
  <c r="V4" i="455" s="1"/>
  <c r="AI63" i="455" s="1"/>
  <c r="AI72" i="454"/>
  <c r="P4" i="454"/>
  <c r="V4" i="454" s="1"/>
  <c r="AH63" i="454" s="1"/>
  <c r="AJ72" i="453"/>
  <c r="P4" i="453"/>
  <c r="V4" i="453" s="1"/>
  <c r="AI63" i="453" s="1"/>
  <c r="AI72" i="452"/>
  <c r="AJ72" i="451"/>
  <c r="P4" i="452"/>
  <c r="V4" i="452" s="1"/>
  <c r="AH63" i="452" s="1"/>
  <c r="P4" i="451"/>
  <c r="V4" i="451" s="1"/>
  <c r="AI63" i="451" s="1"/>
  <c r="AJ72" i="450"/>
  <c r="P4" i="450"/>
  <c r="V4" i="450" s="1"/>
  <c r="AI63" i="450" s="1"/>
  <c r="AI72" i="449"/>
  <c r="AJ72" i="448"/>
  <c r="P4" i="449"/>
  <c r="V4" i="449" s="1"/>
  <c r="AH63" i="449" s="1"/>
  <c r="AJ72" i="446"/>
  <c r="P4" i="448"/>
  <c r="V4" i="448" s="1"/>
  <c r="AI63" i="448" s="1"/>
  <c r="AI72" i="447"/>
  <c r="P4" i="447"/>
  <c r="V4" i="447" s="1"/>
  <c r="AH63" i="447" s="1"/>
  <c r="AJ72" i="444"/>
  <c r="P4" i="446"/>
  <c r="V4" i="446" s="1"/>
  <c r="AI63" i="446" s="1"/>
  <c r="AG72" i="445"/>
  <c r="P4" i="445"/>
  <c r="V4" i="445" s="1"/>
  <c r="AF63" i="445" s="1"/>
  <c r="P4" i="444"/>
  <c r="V4" i="444" s="1"/>
  <c r="AI63" i="444" s="1"/>
  <c r="G30" i="27"/>
  <c r="N20" i="27"/>
  <c r="M73" i="452"/>
  <c r="M82" i="446"/>
  <c r="N73" i="447"/>
  <c r="N82" i="446"/>
  <c r="N73" i="446"/>
  <c r="N52" i="446"/>
  <c r="O49" i="450"/>
  <c r="O11" i="450"/>
  <c r="O54" i="450" s="1"/>
  <c r="O9" i="450"/>
  <c r="O12" i="450"/>
  <c r="P10" i="450"/>
  <c r="N82" i="451"/>
  <c r="N52" i="451"/>
  <c r="N73" i="451"/>
  <c r="AL72" i="444"/>
  <c r="E52" i="445"/>
  <c r="L52" i="445"/>
  <c r="R7" i="444"/>
  <c r="R7" i="445" s="1"/>
  <c r="R7" i="446" s="1"/>
  <c r="R7" i="447" s="1"/>
  <c r="N52" i="447" s="1"/>
  <c r="D52" i="447"/>
  <c r="K52" i="447"/>
  <c r="B52" i="448"/>
  <c r="I52" i="448"/>
  <c r="F52" i="449"/>
  <c r="M52" i="449"/>
  <c r="E52" i="452"/>
  <c r="L52" i="452"/>
  <c r="O12" i="452"/>
  <c r="O9" i="452"/>
  <c r="O11" i="452"/>
  <c r="O54" i="452" s="1"/>
  <c r="P10" i="452"/>
  <c r="O49" i="452"/>
  <c r="L73" i="448"/>
  <c r="M73" i="453"/>
  <c r="P12" i="447"/>
  <c r="P9" i="447"/>
  <c r="P11" i="447"/>
  <c r="P54" i="447" s="1"/>
  <c r="Q10" i="447"/>
  <c r="P49" i="447"/>
  <c r="L54" i="454"/>
  <c r="L82" i="454"/>
  <c r="M54" i="449"/>
  <c r="M82" i="449"/>
  <c r="N54" i="445"/>
  <c r="N53" i="445"/>
  <c r="N82" i="445"/>
  <c r="K54" i="454"/>
  <c r="K82" i="454"/>
  <c r="L54" i="449"/>
  <c r="L82" i="449"/>
  <c r="K54" i="453"/>
  <c r="K82" i="453"/>
  <c r="L54" i="445"/>
  <c r="L53" i="445"/>
  <c r="L82" i="445"/>
  <c r="J54" i="454"/>
  <c r="J82" i="454"/>
  <c r="J54" i="448"/>
  <c r="J82" i="448"/>
  <c r="I54" i="446"/>
  <c r="I82" i="446"/>
  <c r="J54" i="447"/>
  <c r="J82" i="447"/>
  <c r="I54" i="452"/>
  <c r="I82" i="452"/>
  <c r="H54" i="452"/>
  <c r="H82" i="452"/>
  <c r="H54" i="453"/>
  <c r="H82" i="453"/>
  <c r="H54" i="455"/>
  <c r="H82" i="455"/>
  <c r="H54" i="444"/>
  <c r="H82" i="444"/>
  <c r="H53" i="444"/>
  <c r="H55" i="444" s="1"/>
  <c r="G54" i="453"/>
  <c r="G82" i="453"/>
  <c r="G54" i="452"/>
  <c r="G82" i="452"/>
  <c r="F54" i="450"/>
  <c r="F82" i="450"/>
  <c r="F54" i="454"/>
  <c r="F82" i="454"/>
  <c r="G54" i="449"/>
  <c r="G82" i="449"/>
  <c r="G54" i="445"/>
  <c r="G82" i="445"/>
  <c r="G53" i="445"/>
  <c r="E54" i="452"/>
  <c r="E82" i="452"/>
  <c r="E54" i="450"/>
  <c r="E82" i="450"/>
  <c r="E54" i="449"/>
  <c r="E82" i="449"/>
  <c r="D54" i="448"/>
  <c r="D82" i="448"/>
  <c r="F54" i="445"/>
  <c r="F82" i="445"/>
  <c r="F53" i="445"/>
  <c r="C54" i="450"/>
  <c r="C82" i="450"/>
  <c r="C54" i="444"/>
  <c r="C82" i="444"/>
  <c r="C53" i="444"/>
  <c r="D54" i="444"/>
  <c r="D82" i="444"/>
  <c r="D53" i="444"/>
  <c r="B54" i="444"/>
  <c r="B82" i="444"/>
  <c r="B53" i="444"/>
  <c r="C54" i="447"/>
  <c r="C82" i="447"/>
  <c r="B54" i="450"/>
  <c r="B82" i="450"/>
  <c r="B54" i="454"/>
  <c r="B82" i="454"/>
  <c r="N82" i="444"/>
  <c r="K73" i="454"/>
  <c r="J73" i="454"/>
  <c r="G73" i="453"/>
  <c r="F73" i="450"/>
  <c r="D73" i="448"/>
  <c r="D73" i="444"/>
  <c r="AI51" i="444"/>
  <c r="B55" i="444"/>
  <c r="AI51" i="446"/>
  <c r="B73" i="444"/>
  <c r="AH51" i="454"/>
  <c r="AH51" i="452"/>
  <c r="AF80" i="445"/>
  <c r="AI80" i="444"/>
  <c r="AN80" i="444" s="1"/>
  <c r="AI80" i="445" s="1"/>
  <c r="AH80" i="449"/>
  <c r="AI80" i="455"/>
  <c r="M75" i="446"/>
  <c r="O73" i="449"/>
  <c r="O82" i="449"/>
  <c r="L73" i="454"/>
  <c r="M75" i="454"/>
  <c r="M76" i="454" s="1"/>
  <c r="N82" i="450"/>
  <c r="N73" i="450"/>
  <c r="Q12" i="445"/>
  <c r="Q11" i="445"/>
  <c r="Q54" i="445" s="1"/>
  <c r="R10" i="445"/>
  <c r="Q9" i="445"/>
  <c r="Q49" i="445"/>
  <c r="N82" i="448"/>
  <c r="N73" i="448"/>
  <c r="N52" i="448"/>
  <c r="C52" i="444"/>
  <c r="J52" i="444"/>
  <c r="F52" i="445"/>
  <c r="M52" i="445"/>
  <c r="C52" i="447"/>
  <c r="J52" i="447"/>
  <c r="D52" i="450"/>
  <c r="K52" i="450"/>
  <c r="E52" i="455"/>
  <c r="L52" i="455"/>
  <c r="M82" i="453"/>
  <c r="L73" i="451"/>
  <c r="L54" i="446"/>
  <c r="L82" i="446"/>
  <c r="M54" i="447"/>
  <c r="M82" i="447"/>
  <c r="L54" i="451"/>
  <c r="L82" i="451"/>
  <c r="K54" i="451"/>
  <c r="K82" i="451"/>
  <c r="K54" i="450"/>
  <c r="K82" i="450"/>
  <c r="K54" i="446"/>
  <c r="K82" i="446"/>
  <c r="J54" i="450"/>
  <c r="J82" i="450"/>
  <c r="K54" i="447"/>
  <c r="K82" i="447"/>
  <c r="J54" i="451"/>
  <c r="J82" i="451"/>
  <c r="I54" i="448"/>
  <c r="I82" i="448"/>
  <c r="J54" i="444"/>
  <c r="J82" i="444"/>
  <c r="J53" i="444"/>
  <c r="J55" i="444" s="1"/>
  <c r="I54" i="450"/>
  <c r="I82" i="450"/>
  <c r="I54" i="447"/>
  <c r="I82" i="447"/>
  <c r="I54" i="444"/>
  <c r="I82" i="444"/>
  <c r="I53" i="444"/>
  <c r="I55" i="444" s="1"/>
  <c r="H54" i="446"/>
  <c r="H82" i="446"/>
  <c r="H54" i="447"/>
  <c r="H82" i="447"/>
  <c r="G54" i="450"/>
  <c r="G82" i="450"/>
  <c r="H54" i="449"/>
  <c r="H82" i="449"/>
  <c r="F54" i="446"/>
  <c r="F82" i="446"/>
  <c r="G54" i="447"/>
  <c r="G82" i="447"/>
  <c r="G54" i="444"/>
  <c r="G82" i="444"/>
  <c r="G53" i="444"/>
  <c r="G55" i="444" s="1"/>
  <c r="F54" i="449"/>
  <c r="F82" i="449"/>
  <c r="E54" i="453"/>
  <c r="E82" i="453"/>
  <c r="E54" i="448"/>
  <c r="E82" i="448"/>
  <c r="D54" i="451"/>
  <c r="D82" i="451"/>
  <c r="D54" i="455"/>
  <c r="D82" i="455"/>
  <c r="E54" i="447"/>
  <c r="E82" i="447"/>
  <c r="C54" i="455"/>
  <c r="C82" i="455"/>
  <c r="C54" i="449"/>
  <c r="C82" i="449"/>
  <c r="C54" i="448"/>
  <c r="C82" i="448"/>
  <c r="C54" i="453"/>
  <c r="C82" i="453"/>
  <c r="B54" i="445"/>
  <c r="B82" i="445"/>
  <c r="B53" i="445"/>
  <c r="B55" i="445" s="1"/>
  <c r="B54" i="448"/>
  <c r="B82" i="448"/>
  <c r="B54" i="451"/>
  <c r="B82" i="451"/>
  <c r="B54" i="455"/>
  <c r="B82" i="455"/>
  <c r="N82" i="455"/>
  <c r="N73" i="455"/>
  <c r="K73" i="450"/>
  <c r="J73" i="448"/>
  <c r="I73" i="446"/>
  <c r="J73" i="444"/>
  <c r="H73" i="455"/>
  <c r="G73" i="450"/>
  <c r="G73" i="449"/>
  <c r="G73" i="444"/>
  <c r="F73" i="446"/>
  <c r="E73" i="450"/>
  <c r="D73" i="451"/>
  <c r="C73" i="450"/>
  <c r="C73" i="455"/>
  <c r="AI51" i="451"/>
  <c r="B73" i="455"/>
  <c r="AI51" i="453"/>
  <c r="AF51" i="445"/>
  <c r="C55" i="444"/>
  <c r="AI80" i="446"/>
  <c r="AI80" i="453"/>
  <c r="AO60" i="455"/>
  <c r="AN60" i="454"/>
  <c r="AO60" i="453"/>
  <c r="AN60" i="452"/>
  <c r="AO60" i="451"/>
  <c r="AO60" i="450"/>
  <c r="AN60" i="449"/>
  <c r="AO60" i="448"/>
  <c r="AO60" i="446"/>
  <c r="AN60" i="447"/>
  <c r="AL60" i="445"/>
  <c r="AO60" i="444"/>
  <c r="M28" i="27"/>
  <c r="G18" i="27"/>
  <c r="M52" i="446"/>
  <c r="M75" i="449"/>
  <c r="N73" i="454"/>
  <c r="N82" i="454"/>
  <c r="N52" i="454"/>
  <c r="M73" i="450"/>
  <c r="M73" i="451"/>
  <c r="O11" i="446"/>
  <c r="O54" i="446" s="1"/>
  <c r="O9" i="446"/>
  <c r="P10" i="446"/>
  <c r="O12" i="446"/>
  <c r="O49" i="446"/>
  <c r="L75" i="452"/>
  <c r="L76" i="452" s="1"/>
  <c r="O11" i="448"/>
  <c r="O54" i="448" s="1"/>
  <c r="O9" i="448"/>
  <c r="O12" i="448"/>
  <c r="P10" i="448"/>
  <c r="O49" i="448"/>
  <c r="P7" i="444"/>
  <c r="P7" i="445" s="1"/>
  <c r="P7" i="446" s="1"/>
  <c r="P7" i="447" s="1"/>
  <c r="P7" i="448" s="1"/>
  <c r="P7" i="449" s="1"/>
  <c r="G52" i="445"/>
  <c r="N52" i="445"/>
  <c r="B34" i="444"/>
  <c r="Q7" i="444"/>
  <c r="Q7" i="445" s="1"/>
  <c r="Q7" i="446" s="1"/>
  <c r="Q7" i="447" s="1"/>
  <c r="Q7" i="448" s="1"/>
  <c r="Q7" i="449" s="1"/>
  <c r="O52" i="449" s="1"/>
  <c r="B52" i="447"/>
  <c r="I52" i="447"/>
  <c r="C52" i="449"/>
  <c r="J52" i="449"/>
  <c r="E52" i="451"/>
  <c r="L52" i="451"/>
  <c r="C52" i="450"/>
  <c r="J52" i="450"/>
  <c r="C52" i="453"/>
  <c r="J52" i="453"/>
  <c r="M73" i="455"/>
  <c r="L54" i="452"/>
  <c r="L82" i="452"/>
  <c r="L54" i="455"/>
  <c r="L82" i="455"/>
  <c r="M54" i="444"/>
  <c r="M82" i="444"/>
  <c r="M53" i="444"/>
  <c r="M55" i="444" s="1"/>
  <c r="K54" i="452"/>
  <c r="K82" i="452"/>
  <c r="K54" i="455"/>
  <c r="K82" i="455"/>
  <c r="M54" i="445"/>
  <c r="M82" i="445"/>
  <c r="M53" i="445"/>
  <c r="M55" i="445" s="1"/>
  <c r="J54" i="453"/>
  <c r="J82" i="453"/>
  <c r="J54" i="455"/>
  <c r="J82" i="455"/>
  <c r="J54" i="446"/>
  <c r="J82" i="446"/>
  <c r="I54" i="454"/>
  <c r="I82" i="454"/>
  <c r="K54" i="445"/>
  <c r="K53" i="445"/>
  <c r="K55" i="445" s="1"/>
  <c r="K82" i="445"/>
  <c r="I54" i="455"/>
  <c r="I82" i="455"/>
  <c r="H54" i="450"/>
  <c r="H82" i="450"/>
  <c r="J54" i="445"/>
  <c r="J82" i="445"/>
  <c r="J53" i="445"/>
  <c r="J55" i="445" s="1"/>
  <c r="H54" i="448"/>
  <c r="H82" i="448"/>
  <c r="G54" i="446"/>
  <c r="G82" i="446"/>
  <c r="G54" i="454"/>
  <c r="G82" i="454"/>
  <c r="I54" i="445"/>
  <c r="I82" i="445"/>
  <c r="I53" i="445"/>
  <c r="I55" i="445" s="1"/>
  <c r="F54" i="451"/>
  <c r="F82" i="451"/>
  <c r="F54" i="448"/>
  <c r="F82" i="448"/>
  <c r="F54" i="455"/>
  <c r="F82" i="455"/>
  <c r="E54" i="455"/>
  <c r="E82" i="455"/>
  <c r="F54" i="447"/>
  <c r="F82" i="447"/>
  <c r="F54" i="444"/>
  <c r="F82" i="444"/>
  <c r="F53" i="444"/>
  <c r="F55" i="444" s="1"/>
  <c r="D54" i="450"/>
  <c r="D82" i="450"/>
  <c r="D54" i="453"/>
  <c r="D82" i="453"/>
  <c r="D54" i="452"/>
  <c r="D82" i="452"/>
  <c r="C54" i="454"/>
  <c r="C82" i="454"/>
  <c r="D54" i="445"/>
  <c r="D82" i="445"/>
  <c r="D53" i="445"/>
  <c r="D55" i="445" s="1"/>
  <c r="C54" i="446"/>
  <c r="C82" i="446"/>
  <c r="C54" i="451"/>
  <c r="C82" i="451"/>
  <c r="C54" i="445"/>
  <c r="C82" i="445"/>
  <c r="C53" i="445"/>
  <c r="C55" i="445" s="1"/>
  <c r="B54" i="447"/>
  <c r="B82" i="447"/>
  <c r="B54" i="452"/>
  <c r="B82" i="452"/>
  <c r="L73" i="455"/>
  <c r="O11" i="453"/>
  <c r="O54" i="453" s="1"/>
  <c r="O9" i="453"/>
  <c r="O12" i="453"/>
  <c r="P10" i="453"/>
  <c r="O49" i="453"/>
  <c r="N73" i="445"/>
  <c r="N53" i="444"/>
  <c r="N55" i="444" s="1"/>
  <c r="O73" i="444"/>
  <c r="O53" i="444"/>
  <c r="O55" i="444" s="1"/>
  <c r="O52" i="444"/>
  <c r="O82" i="444"/>
  <c r="L73" i="449"/>
  <c r="J73" i="450"/>
  <c r="J73" i="447"/>
  <c r="H73" i="446"/>
  <c r="H73" i="453"/>
  <c r="H73" i="447"/>
  <c r="F73" i="455"/>
  <c r="F73" i="451"/>
  <c r="E73" i="453"/>
  <c r="G73" i="445"/>
  <c r="E73" i="449"/>
  <c r="D73" i="450"/>
  <c r="D73" i="453"/>
  <c r="C73" i="451"/>
  <c r="C73" i="447"/>
  <c r="C73" i="448"/>
  <c r="C73" i="454"/>
  <c r="AI51" i="455"/>
  <c r="L55" i="445"/>
  <c r="AI51" i="448"/>
  <c r="B73" i="451"/>
  <c r="AI51" i="450"/>
  <c r="B73" i="448"/>
  <c r="C73" i="444"/>
  <c r="G55" i="445"/>
  <c r="AI80" i="448"/>
  <c r="AI80" i="451"/>
  <c r="AO71" i="455"/>
  <c r="AN71" i="454"/>
  <c r="AO71" i="453"/>
  <c r="AN71" i="452"/>
  <c r="AO71" i="451"/>
  <c r="AO71" i="450"/>
  <c r="AN71" i="449"/>
  <c r="AO71" i="448"/>
  <c r="AO71" i="446"/>
  <c r="AN71" i="447"/>
  <c r="AL71" i="445"/>
  <c r="AO71" i="444"/>
  <c r="O12" i="454"/>
  <c r="O9" i="454"/>
  <c r="O11" i="454"/>
  <c r="O54" i="454" s="1"/>
  <c r="P10" i="454"/>
  <c r="O49" i="454"/>
  <c r="L73" i="446"/>
  <c r="P12" i="449"/>
  <c r="P9" i="449"/>
  <c r="P11" i="449"/>
  <c r="P54" i="449" s="1"/>
  <c r="Q10" i="449"/>
  <c r="P49" i="449"/>
  <c r="L73" i="450"/>
  <c r="O73" i="445"/>
  <c r="M73" i="448"/>
  <c r="N73" i="449"/>
  <c r="P73" i="445"/>
  <c r="P82" i="445"/>
  <c r="P53" i="445"/>
  <c r="P55" i="445" s="1"/>
  <c r="P52" i="445"/>
  <c r="O11" i="451"/>
  <c r="O54" i="451" s="1"/>
  <c r="O9" i="451"/>
  <c r="O12" i="451"/>
  <c r="P10" i="451"/>
  <c r="O49" i="451"/>
  <c r="C52" i="445"/>
  <c r="J52" i="445"/>
  <c r="D52" i="445"/>
  <c r="K52" i="445"/>
  <c r="B52" i="444"/>
  <c r="I52" i="444"/>
  <c r="W7" i="445"/>
  <c r="H52" i="445"/>
  <c r="D52" i="446"/>
  <c r="K52" i="446"/>
  <c r="E52" i="446"/>
  <c r="L52" i="446"/>
  <c r="E52" i="449"/>
  <c r="L52" i="449"/>
  <c r="B52" i="452"/>
  <c r="I52" i="452"/>
  <c r="N82" i="452"/>
  <c r="N73" i="452"/>
  <c r="O52" i="447"/>
  <c r="O73" i="447"/>
  <c r="O82" i="447"/>
  <c r="M82" i="455"/>
  <c r="L54" i="450"/>
  <c r="L82" i="450"/>
  <c r="L54" i="448"/>
  <c r="L82" i="448"/>
  <c r="L54" i="453"/>
  <c r="L82" i="453"/>
  <c r="K54" i="448"/>
  <c r="K82" i="448"/>
  <c r="L54" i="444"/>
  <c r="L82" i="444"/>
  <c r="L53" i="444"/>
  <c r="L55" i="444" s="1"/>
  <c r="L54" i="447"/>
  <c r="L82" i="447"/>
  <c r="K54" i="444"/>
  <c r="K82" i="444"/>
  <c r="K53" i="444"/>
  <c r="K55" i="444" s="1"/>
  <c r="K54" i="449"/>
  <c r="K82" i="449"/>
  <c r="J54" i="452"/>
  <c r="J82" i="452"/>
  <c r="I54" i="451"/>
  <c r="I82" i="451"/>
  <c r="I54" i="453"/>
  <c r="I82" i="453"/>
  <c r="J54" i="449"/>
  <c r="J82" i="449"/>
  <c r="H54" i="454"/>
  <c r="H82" i="454"/>
  <c r="H54" i="451"/>
  <c r="H82" i="451"/>
  <c r="I54" i="449"/>
  <c r="I82" i="449"/>
  <c r="G54" i="448"/>
  <c r="G82" i="448"/>
  <c r="G54" i="455"/>
  <c r="G82" i="455"/>
  <c r="G54" i="451"/>
  <c r="G82" i="451"/>
  <c r="H54" i="445"/>
  <c r="H82" i="445"/>
  <c r="H53" i="445"/>
  <c r="H55" i="445" s="1"/>
  <c r="F54" i="453"/>
  <c r="F82" i="453"/>
  <c r="F54" i="452"/>
  <c r="F82" i="452"/>
  <c r="E54" i="446"/>
  <c r="E82" i="446"/>
  <c r="E54" i="454"/>
  <c r="E82" i="454"/>
  <c r="E54" i="451"/>
  <c r="E82" i="451"/>
  <c r="E54" i="444"/>
  <c r="E82" i="444"/>
  <c r="E53" i="444"/>
  <c r="E55" i="444" s="1"/>
  <c r="D54" i="446"/>
  <c r="D82" i="446"/>
  <c r="D54" i="454"/>
  <c r="D82" i="454"/>
  <c r="C54" i="452"/>
  <c r="C82" i="452"/>
  <c r="D54" i="449"/>
  <c r="D82" i="449"/>
  <c r="E54" i="445"/>
  <c r="E82" i="445"/>
  <c r="E53" i="445"/>
  <c r="E55" i="445" s="1"/>
  <c r="D54" i="447"/>
  <c r="D82" i="447"/>
  <c r="B54" i="446"/>
  <c r="B82" i="446"/>
  <c r="B54" i="449"/>
  <c r="B82" i="449"/>
  <c r="B54" i="453"/>
  <c r="B82" i="453"/>
  <c r="N82" i="453"/>
  <c r="N73" i="453"/>
  <c r="N52" i="453"/>
  <c r="N73" i="444"/>
  <c r="P11" i="444"/>
  <c r="P54" i="444" s="1"/>
  <c r="P9" i="444"/>
  <c r="P12" i="444"/>
  <c r="Q10" i="444"/>
  <c r="P49" i="444"/>
  <c r="O11" i="455"/>
  <c r="O54" i="455" s="1"/>
  <c r="O9" i="455"/>
  <c r="O12" i="455"/>
  <c r="P10" i="455"/>
  <c r="O49" i="455"/>
  <c r="K73" i="453"/>
  <c r="M73" i="445"/>
  <c r="L73" i="447"/>
  <c r="K73" i="447"/>
  <c r="J73" i="455"/>
  <c r="L73" i="445"/>
  <c r="I73" i="448"/>
  <c r="I73" i="452"/>
  <c r="I73" i="455"/>
  <c r="H73" i="454"/>
  <c r="H73" i="452"/>
  <c r="J73" i="445"/>
  <c r="H73" i="444"/>
  <c r="G73" i="452"/>
  <c r="I73" i="445"/>
  <c r="F73" i="454"/>
  <c r="F73" i="448"/>
  <c r="G73" i="447"/>
  <c r="E73" i="448"/>
  <c r="E73" i="446"/>
  <c r="E73" i="452"/>
  <c r="D73" i="454"/>
  <c r="F73" i="445"/>
  <c r="E73" i="447"/>
  <c r="C73" i="446"/>
  <c r="C73" i="449"/>
  <c r="C73" i="453"/>
  <c r="B73" i="454"/>
  <c r="N55" i="445"/>
  <c r="AH51" i="449"/>
  <c r="B73" i="450"/>
  <c r="F55" i="445"/>
  <c r="D55" i="444"/>
  <c r="AH51" i="447"/>
  <c r="AH80" i="447"/>
  <c r="AI80" i="450"/>
  <c r="AH80" i="452"/>
  <c r="G15" i="27"/>
  <c r="P21" i="27"/>
  <c r="G31" i="27"/>
  <c r="G24" i="27"/>
  <c r="P19" i="27"/>
  <c r="P32" i="27"/>
  <c r="P34" i="27"/>
  <c r="G34" i="27"/>
  <c r="N14" i="27"/>
  <c r="L19" i="27"/>
  <c r="L20" i="27"/>
  <c r="L34" i="27"/>
  <c r="P26" i="27"/>
  <c r="P13" i="27"/>
  <c r="P20" i="27"/>
  <c r="G19" i="27"/>
  <c r="P17" i="27"/>
  <c r="P12" i="27"/>
  <c r="P16" i="27"/>
  <c r="G11" i="27"/>
  <c r="P15" i="27"/>
  <c r="G14" i="27"/>
  <c r="N11" i="27"/>
  <c r="L28" i="27"/>
  <c r="L30" i="27"/>
  <c r="L22" i="27"/>
  <c r="G28" i="27"/>
  <c r="G22" i="27"/>
  <c r="P28" i="27"/>
  <c r="G21" i="27"/>
  <c r="L26" i="27"/>
  <c r="L13" i="27"/>
  <c r="L32" i="27"/>
  <c r="R6" i="1"/>
  <c r="R5" i="1"/>
  <c r="R4" i="1"/>
  <c r="M20" i="27"/>
  <c r="M30" i="27"/>
  <c r="M34" i="27"/>
  <c r="M18" i="27"/>
  <c r="M24" i="27"/>
  <c r="M14" i="27"/>
  <c r="M22" i="27"/>
  <c r="M12" i="27"/>
  <c r="F15" i="27"/>
  <c r="F19" i="27"/>
  <c r="F17" i="27"/>
  <c r="F16" i="27"/>
  <c r="F14" i="27"/>
  <c r="M19" i="27"/>
  <c r="M32" i="27"/>
  <c r="M13" i="27"/>
  <c r="M26" i="27"/>
  <c r="M11" i="27"/>
  <c r="M27" i="27"/>
  <c r="M31" i="27"/>
  <c r="M17" i="27"/>
  <c r="M15" i="27"/>
  <c r="M16" i="27"/>
  <c r="L15" i="27"/>
  <c r="L16" i="27"/>
  <c r="L24" i="27"/>
  <c r="L11" i="27"/>
  <c r="L21" i="27"/>
  <c r="L12" i="27"/>
  <c r="L14" i="27"/>
  <c r="B22" i="28"/>
  <c r="B27" i="28"/>
  <c r="B18" i="28"/>
  <c r="C18" i="28" s="1"/>
  <c r="B25" i="28"/>
  <c r="B17" i="28"/>
  <c r="C17" i="28" s="1"/>
  <c r="B20" i="28"/>
  <c r="B28" i="28"/>
  <c r="B9" i="28"/>
  <c r="B11" i="28" s="1"/>
  <c r="B26" i="28"/>
  <c r="B23" i="28"/>
  <c r="AC31" i="15"/>
  <c r="B21" i="28"/>
  <c r="B24" i="28"/>
  <c r="D8" i="28"/>
  <c r="D17" i="28" s="1"/>
  <c r="E17" i="28" s="1"/>
  <c r="K31" i="27"/>
  <c r="K18" i="27"/>
  <c r="K27" i="27"/>
  <c r="K25" i="27"/>
  <c r="K34" i="27"/>
  <c r="K28" i="27"/>
  <c r="K20" i="27"/>
  <c r="K17" i="27"/>
  <c r="K12" i="27"/>
  <c r="K14" i="27"/>
  <c r="K26" i="27"/>
  <c r="K22" i="27"/>
  <c r="K13" i="27"/>
  <c r="K32" i="27"/>
  <c r="K19" i="27"/>
  <c r="K21" i="27"/>
  <c r="K11" i="27"/>
  <c r="K16" i="27"/>
  <c r="K15" i="27"/>
  <c r="K24" i="27"/>
  <c r="K30" i="27"/>
  <c r="O17" i="27"/>
  <c r="O31" i="27"/>
  <c r="O15" i="27"/>
  <c r="O27" i="27"/>
  <c r="O16" i="27"/>
  <c r="O18" i="27"/>
  <c r="O24" i="27"/>
  <c r="O13" i="27"/>
  <c r="O26" i="27"/>
  <c r="O32" i="27"/>
  <c r="O20" i="27"/>
  <c r="O21" i="27"/>
  <c r="J14" i="27"/>
  <c r="J15" i="27"/>
  <c r="J17" i="27"/>
  <c r="J30" i="27"/>
  <c r="J24" i="27"/>
  <c r="J32" i="27"/>
  <c r="J31" i="27"/>
  <c r="J21" i="27"/>
  <c r="J20" i="27"/>
  <c r="J16" i="27"/>
  <c r="J22" i="27"/>
  <c r="J34" i="27"/>
  <c r="J13" i="27"/>
  <c r="J12" i="27"/>
  <c r="J25" i="27"/>
  <c r="J19" i="27"/>
  <c r="J26" i="27"/>
  <c r="J18" i="27"/>
  <c r="J28" i="27"/>
  <c r="J27" i="27"/>
  <c r="J11" i="27"/>
  <c r="B18" i="27"/>
  <c r="B13" i="27"/>
  <c r="B30" i="27"/>
  <c r="B17" i="27"/>
  <c r="B34" i="27"/>
  <c r="B25" i="27"/>
  <c r="B21" i="27"/>
  <c r="B19" i="27"/>
  <c r="B15" i="27"/>
  <c r="B32" i="27"/>
  <c r="B22" i="27"/>
  <c r="H19" i="27"/>
  <c r="H14" i="27"/>
  <c r="H11" i="27"/>
  <c r="H15" i="27"/>
  <c r="H12" i="27"/>
  <c r="H32" i="27"/>
  <c r="H22" i="27"/>
  <c r="H17" i="27"/>
  <c r="H20" i="27"/>
  <c r="H27" i="27"/>
  <c r="H28" i="27"/>
  <c r="H31" i="27"/>
  <c r="H13" i="27"/>
  <c r="H24" i="27"/>
  <c r="H21" i="27"/>
  <c r="H30" i="27"/>
  <c r="H16" i="27"/>
  <c r="H25" i="27"/>
  <c r="H18" i="27"/>
  <c r="H34" i="27"/>
  <c r="H26" i="27"/>
  <c r="O14" i="27"/>
  <c r="O34" i="27"/>
  <c r="O22" i="27"/>
  <c r="G32" i="27"/>
  <c r="G20" i="27"/>
  <c r="G17" i="27"/>
  <c r="G26" i="27"/>
  <c r="G13" i="27"/>
  <c r="G16" i="27"/>
  <c r="E31" i="27"/>
  <c r="E25" i="27"/>
  <c r="E15" i="27"/>
  <c r="E14" i="27"/>
  <c r="E16" i="27"/>
  <c r="E12" i="27"/>
  <c r="E30" i="27"/>
  <c r="E24" i="27"/>
  <c r="E17" i="27"/>
  <c r="E19" i="27"/>
  <c r="E11" i="27"/>
  <c r="E26" i="27"/>
  <c r="E13" i="27"/>
  <c r="E27" i="27"/>
  <c r="E18" i="27"/>
  <c r="E20" i="27"/>
  <c r="E34" i="27"/>
  <c r="E21" i="27"/>
  <c r="E32" i="27"/>
  <c r="E22" i="27"/>
  <c r="E28" i="27"/>
  <c r="P27" i="27"/>
  <c r="P14" i="27"/>
  <c r="P18" i="27"/>
  <c r="P31" i="27"/>
  <c r="P30" i="27"/>
  <c r="P11" i="27"/>
  <c r="C31" i="27"/>
  <c r="C20" i="27"/>
  <c r="C30" i="27"/>
  <c r="C11" i="27"/>
  <c r="C17" i="27"/>
  <c r="C25" i="27"/>
  <c r="C22" i="27"/>
  <c r="C19" i="27"/>
  <c r="C24" i="27"/>
  <c r="C28" i="27"/>
  <c r="C12" i="27"/>
  <c r="C26" i="27"/>
  <c r="C32" i="27"/>
  <c r="C18" i="27"/>
  <c r="C15" i="27"/>
  <c r="C16" i="27"/>
  <c r="C14" i="27"/>
  <c r="C27" i="27"/>
  <c r="C13" i="27"/>
  <c r="C21" i="27"/>
  <c r="C34" i="27"/>
  <c r="N32" i="27"/>
  <c r="N31" i="27"/>
  <c r="N30" i="27"/>
  <c r="N28" i="27"/>
  <c r="N15" i="27"/>
  <c r="N22" i="27"/>
  <c r="N13" i="27"/>
  <c r="N19" i="27"/>
  <c r="N17" i="27"/>
  <c r="N25" i="27"/>
  <c r="N12" i="27"/>
  <c r="N34" i="27"/>
  <c r="N21" i="27"/>
  <c r="N26" i="27"/>
  <c r="N16" i="27"/>
  <c r="N27" i="27"/>
  <c r="N24" i="27"/>
  <c r="O12" i="27"/>
  <c r="O28" i="27"/>
  <c r="D21" i="27"/>
  <c r="D24" i="27"/>
  <c r="D11" i="27"/>
  <c r="D18" i="27"/>
  <c r="D27" i="27"/>
  <c r="D25" i="27"/>
  <c r="D28" i="27"/>
  <c r="D15" i="27"/>
  <c r="D26" i="27"/>
  <c r="D17" i="27"/>
  <c r="D14" i="27"/>
  <c r="D32" i="27"/>
  <c r="D16" i="27"/>
  <c r="D13" i="27"/>
  <c r="D22" i="27"/>
  <c r="D31" i="27"/>
  <c r="D30" i="27"/>
  <c r="D34" i="27"/>
  <c r="D19" i="27"/>
  <c r="D12" i="27"/>
  <c r="D20" i="27"/>
  <c r="N30" i="15"/>
  <c r="O30" i="15"/>
  <c r="AJ2" i="15"/>
  <c r="J14" i="1"/>
  <c r="V3" i="445" s="1"/>
  <c r="H15" i="1"/>
  <c r="D16" i="15"/>
  <c r="AK27" i="15"/>
  <c r="Y31" i="15"/>
  <c r="T22" i="27"/>
  <c r="AD27" i="15"/>
  <c r="T19" i="27"/>
  <c r="AJ31" i="15"/>
  <c r="T15" i="27"/>
  <c r="T20" i="27"/>
  <c r="T18" i="27"/>
  <c r="T14" i="27"/>
  <c r="T12" i="27"/>
  <c r="T21" i="27"/>
  <c r="T17" i="27"/>
  <c r="T13" i="27"/>
  <c r="T16" i="27"/>
  <c r="T11" i="27"/>
  <c r="AO27" i="15"/>
  <c r="N35" i="27" s="1"/>
  <c r="W27" i="15"/>
  <c r="W31" i="15"/>
  <c r="AC27" i="15"/>
  <c r="I27" i="15"/>
  <c r="I31" i="15"/>
  <c r="K27" i="15"/>
  <c r="AL31" i="15"/>
  <c r="J31" i="15"/>
  <c r="P27" i="15"/>
  <c r="S31" i="15"/>
  <c r="AG31" i="15"/>
  <c r="AI31" i="15"/>
  <c r="AH31" i="15"/>
  <c r="AF31" i="15"/>
  <c r="AE27" i="15"/>
  <c r="AM27" i="15"/>
  <c r="AM28" i="15" s="1"/>
  <c r="AM29" i="15" s="1"/>
  <c r="AM31" i="15"/>
  <c r="N52" i="449" l="1"/>
  <c r="P7" i="450"/>
  <c r="K52" i="448"/>
  <c r="J52" i="448"/>
  <c r="E52" i="447"/>
  <c r="AK80" i="445"/>
  <c r="AL80" i="446" s="1"/>
  <c r="F52" i="447"/>
  <c r="B52" i="446"/>
  <c r="AI65" i="444"/>
  <c r="L15" i="15"/>
  <c r="AI65" i="450"/>
  <c r="L21" i="15"/>
  <c r="AH65" i="454"/>
  <c r="L25" i="15"/>
  <c r="D52" i="448"/>
  <c r="C52" i="448"/>
  <c r="W7" i="447"/>
  <c r="H52" i="446"/>
  <c r="J52" i="446"/>
  <c r="I52" i="445"/>
  <c r="AF65" i="445"/>
  <c r="L16" i="15"/>
  <c r="AH65" i="447"/>
  <c r="L18" i="15"/>
  <c r="AH65" i="449"/>
  <c r="L20" i="15"/>
  <c r="O52" i="445"/>
  <c r="G52" i="448"/>
  <c r="T7" i="449"/>
  <c r="W7" i="446"/>
  <c r="C52" i="446"/>
  <c r="B52" i="445"/>
  <c r="AI65" i="451"/>
  <c r="L22" i="15"/>
  <c r="AI65" i="453"/>
  <c r="L24" i="15"/>
  <c r="AI65" i="455"/>
  <c r="L26" i="15"/>
  <c r="G52" i="451"/>
  <c r="U7" i="452"/>
  <c r="H52" i="449"/>
  <c r="Q7" i="450"/>
  <c r="AN80" i="446"/>
  <c r="AK80" i="447" s="1"/>
  <c r="AM80" i="447" s="1"/>
  <c r="AL80" i="448" s="1"/>
  <c r="AN80" i="448" s="1"/>
  <c r="AK80" i="449" s="1"/>
  <c r="AM80" i="449" s="1"/>
  <c r="AL80" i="450" s="1"/>
  <c r="AN80" i="450" s="1"/>
  <c r="AL80" i="451" s="1"/>
  <c r="AN80" i="451" s="1"/>
  <c r="AK80" i="452" s="1"/>
  <c r="AM80" i="452" s="1"/>
  <c r="AL80" i="453" s="1"/>
  <c r="AN80" i="453" s="1"/>
  <c r="AK80" i="454" s="1"/>
  <c r="AM80" i="454" s="1"/>
  <c r="AL80" i="455" s="1"/>
  <c r="AN80" i="455" s="1"/>
  <c r="L52" i="447"/>
  <c r="G52" i="449"/>
  <c r="M52" i="447"/>
  <c r="I52" i="446"/>
  <c r="G52" i="447"/>
  <c r="R7" i="448"/>
  <c r="AI65" i="446"/>
  <c r="L17" i="15"/>
  <c r="AI65" i="448"/>
  <c r="L19" i="15"/>
  <c r="AH65" i="452"/>
  <c r="L23" i="15"/>
  <c r="G52" i="453"/>
  <c r="S7" i="454"/>
  <c r="C77" i="452"/>
  <c r="C69" i="452" s="1"/>
  <c r="D77" i="455"/>
  <c r="D69" i="455" s="1"/>
  <c r="H77" i="449"/>
  <c r="H69" i="449" s="1"/>
  <c r="K77" i="444"/>
  <c r="K69" i="444" s="1"/>
  <c r="H77" i="451"/>
  <c r="H69" i="451" s="1"/>
  <c r="I77" i="453"/>
  <c r="I69" i="453" s="1"/>
  <c r="B77" i="445"/>
  <c r="B69" i="445" s="1"/>
  <c r="J77" i="451"/>
  <c r="J69" i="451" s="1"/>
  <c r="E77" i="444"/>
  <c r="E69" i="444" s="1"/>
  <c r="C19" i="28"/>
  <c r="V2" i="446"/>
  <c r="B75" i="454"/>
  <c r="B76" i="454" s="1"/>
  <c r="AM76" i="453" s="1"/>
  <c r="C75" i="446"/>
  <c r="C76" i="446" s="1"/>
  <c r="B77" i="446" s="1"/>
  <c r="E75" i="452"/>
  <c r="E77" i="452" s="1"/>
  <c r="E69" i="452" s="1"/>
  <c r="F75" i="448"/>
  <c r="F77" i="448" s="1"/>
  <c r="F69" i="448" s="1"/>
  <c r="H75" i="444"/>
  <c r="H77" i="444" s="1"/>
  <c r="H69" i="444" s="1"/>
  <c r="I75" i="455"/>
  <c r="I76" i="455" s="1"/>
  <c r="J75" i="455"/>
  <c r="J77" i="455" s="1"/>
  <c r="J69" i="455" s="1"/>
  <c r="K75" i="453"/>
  <c r="K77" i="453" s="1"/>
  <c r="K69" i="453" s="1"/>
  <c r="O75" i="447"/>
  <c r="O76" i="447" s="1"/>
  <c r="F66" i="445"/>
  <c r="M66" i="445"/>
  <c r="G66" i="445"/>
  <c r="N66" i="445"/>
  <c r="M75" i="448"/>
  <c r="Q12" i="449"/>
  <c r="Q9" i="449"/>
  <c r="Q11" i="449"/>
  <c r="Q54" i="449" s="1"/>
  <c r="R10" i="449"/>
  <c r="Q49" i="449"/>
  <c r="P12" i="454"/>
  <c r="P9" i="454"/>
  <c r="P11" i="454"/>
  <c r="P54" i="454" s="1"/>
  <c r="Q10" i="454"/>
  <c r="P49" i="454"/>
  <c r="C75" i="447"/>
  <c r="C76" i="447" s="1"/>
  <c r="B77" i="447" s="1"/>
  <c r="E75" i="449"/>
  <c r="E76" i="449" s="1"/>
  <c r="D77" i="449" s="1"/>
  <c r="D69" i="449" s="1"/>
  <c r="F75" i="455"/>
  <c r="J75" i="447"/>
  <c r="J76" i="447" s="1"/>
  <c r="I77" i="447" s="1"/>
  <c r="I69" i="447" s="1"/>
  <c r="N75" i="445"/>
  <c r="N76" i="445" s="1"/>
  <c r="L75" i="455"/>
  <c r="L76" i="455" s="1"/>
  <c r="K77" i="455" s="1"/>
  <c r="K69" i="455" s="1"/>
  <c r="P11" i="448"/>
  <c r="P54" i="448" s="1"/>
  <c r="P9" i="448"/>
  <c r="P12" i="448"/>
  <c r="Q10" i="448"/>
  <c r="P49" i="448"/>
  <c r="M75" i="451"/>
  <c r="M76" i="451" s="1"/>
  <c r="C75" i="450"/>
  <c r="C76" i="450" s="1"/>
  <c r="G75" i="444"/>
  <c r="G76" i="444" s="1"/>
  <c r="F77" i="444" s="1"/>
  <c r="F69" i="444" s="1"/>
  <c r="J75" i="444"/>
  <c r="J77" i="444" s="1"/>
  <c r="J69" i="444" s="1"/>
  <c r="N75" i="448"/>
  <c r="S10" i="445"/>
  <c r="R9" i="445"/>
  <c r="R12" i="445"/>
  <c r="R11" i="445"/>
  <c r="R54" i="445" s="1"/>
  <c r="R49" i="445"/>
  <c r="L75" i="454"/>
  <c r="L77" i="454" s="1"/>
  <c r="L69" i="454" s="1"/>
  <c r="D75" i="448"/>
  <c r="D76" i="448" s="1"/>
  <c r="K75" i="454"/>
  <c r="K76" i="454" s="1"/>
  <c r="L75" i="448"/>
  <c r="L76" i="448" s="1"/>
  <c r="K77" i="448" s="1"/>
  <c r="K69" i="448" s="1"/>
  <c r="F52" i="444"/>
  <c r="M52" i="444"/>
  <c r="H76" i="449"/>
  <c r="AP60" i="455"/>
  <c r="AO60" i="454"/>
  <c r="AP60" i="453"/>
  <c r="AO60" i="452"/>
  <c r="AP60" i="451"/>
  <c r="AP60" i="450"/>
  <c r="AO60" i="449"/>
  <c r="AP60" i="448"/>
  <c r="AO60" i="447"/>
  <c r="AP60" i="446"/>
  <c r="AP60" i="444"/>
  <c r="AM60" i="445"/>
  <c r="AP71" i="455"/>
  <c r="AO71" i="454"/>
  <c r="AP71" i="453"/>
  <c r="AO71" i="452"/>
  <c r="AP71" i="451"/>
  <c r="AP71" i="450"/>
  <c r="AP71" i="448"/>
  <c r="AO71" i="449"/>
  <c r="AO71" i="447"/>
  <c r="AP71" i="446"/>
  <c r="AM71" i="445"/>
  <c r="AP71" i="444"/>
  <c r="E75" i="447"/>
  <c r="E77" i="447" s="1"/>
  <c r="E69" i="447" s="1"/>
  <c r="E75" i="446"/>
  <c r="E76" i="446" s="1"/>
  <c r="D77" i="446" s="1"/>
  <c r="D69" i="446" s="1"/>
  <c r="F75" i="454"/>
  <c r="F76" i="454" s="1"/>
  <c r="E77" i="454" s="1"/>
  <c r="E69" i="454" s="1"/>
  <c r="J75" i="445"/>
  <c r="J77" i="445" s="1"/>
  <c r="J69" i="445" s="1"/>
  <c r="I75" i="452"/>
  <c r="I77" i="452" s="1"/>
  <c r="I69" i="452" s="1"/>
  <c r="K75" i="447"/>
  <c r="K76" i="447" s="1"/>
  <c r="N75" i="452"/>
  <c r="N76" i="452" s="1"/>
  <c r="P11" i="451"/>
  <c r="P54" i="451" s="1"/>
  <c r="P9" i="451"/>
  <c r="P12" i="451"/>
  <c r="Q10" i="451"/>
  <c r="P49" i="451"/>
  <c r="O75" i="445"/>
  <c r="O76" i="445" s="1"/>
  <c r="B75" i="448"/>
  <c r="B76" i="448" s="1"/>
  <c r="AL76" i="447" s="1"/>
  <c r="C75" i="454"/>
  <c r="C76" i="454" s="1"/>
  <c r="C75" i="451"/>
  <c r="G75" i="445"/>
  <c r="G76" i="445" s="1"/>
  <c r="H75" i="447"/>
  <c r="H76" i="447" s="1"/>
  <c r="J75" i="450"/>
  <c r="J76" i="450" s="1"/>
  <c r="I77" i="450" s="1"/>
  <c r="I69" i="450" s="1"/>
  <c r="E52" i="444"/>
  <c r="L52" i="444"/>
  <c r="O82" i="448"/>
  <c r="O73" i="448"/>
  <c r="O52" i="448"/>
  <c r="M75" i="450"/>
  <c r="N75" i="454"/>
  <c r="N76" i="454" s="1"/>
  <c r="M77" i="454" s="1"/>
  <c r="M69" i="454" s="1"/>
  <c r="B75" i="455"/>
  <c r="B76" i="455" s="1"/>
  <c r="AL76" i="454" s="1"/>
  <c r="D75" i="451"/>
  <c r="D77" i="451" s="1"/>
  <c r="D69" i="451" s="1"/>
  <c r="G75" i="449"/>
  <c r="I75" i="446"/>
  <c r="I76" i="446" s="1"/>
  <c r="C66" i="447"/>
  <c r="J66" i="447"/>
  <c r="D66" i="447"/>
  <c r="K66" i="447"/>
  <c r="F75" i="450"/>
  <c r="F76" i="450" s="1"/>
  <c r="Q11" i="447"/>
  <c r="Q54" i="447" s="1"/>
  <c r="R10" i="447"/>
  <c r="Q12" i="447"/>
  <c r="Q9" i="447"/>
  <c r="Q49" i="447"/>
  <c r="P73" i="447"/>
  <c r="P82" i="447"/>
  <c r="P52" i="447"/>
  <c r="P66" i="447" s="1"/>
  <c r="N75" i="447"/>
  <c r="D76" i="446"/>
  <c r="G76" i="455"/>
  <c r="H76" i="451"/>
  <c r="G77" i="451" s="1"/>
  <c r="G69" i="451" s="1"/>
  <c r="J77" i="446"/>
  <c r="J69" i="446" s="1"/>
  <c r="B75" i="450"/>
  <c r="C75" i="453"/>
  <c r="C76" i="453" s="1"/>
  <c r="B77" i="453" s="1"/>
  <c r="F75" i="445"/>
  <c r="E75" i="448"/>
  <c r="E76" i="448" s="1"/>
  <c r="I75" i="445"/>
  <c r="H75" i="452"/>
  <c r="H76" i="452" s="1"/>
  <c r="I75" i="448"/>
  <c r="L75" i="447"/>
  <c r="L77" i="447" s="1"/>
  <c r="L69" i="447" s="1"/>
  <c r="P12" i="455"/>
  <c r="Q10" i="455"/>
  <c r="P11" i="455"/>
  <c r="P54" i="455" s="1"/>
  <c r="P9" i="455"/>
  <c r="P49" i="455"/>
  <c r="Q12" i="444"/>
  <c r="R10" i="444"/>
  <c r="Q49" i="444"/>
  <c r="Q9" i="444"/>
  <c r="Q11" i="444"/>
  <c r="Q54" i="444" s="1"/>
  <c r="Q56" i="444"/>
  <c r="Q68" i="444"/>
  <c r="N75" i="453"/>
  <c r="O73" i="451"/>
  <c r="O82" i="451"/>
  <c r="O52" i="451"/>
  <c r="P75" i="445"/>
  <c r="P76" i="445" s="1"/>
  <c r="L75" i="450"/>
  <c r="L75" i="446"/>
  <c r="L76" i="446" s="1"/>
  <c r="K77" i="446" s="1"/>
  <c r="K69" i="446" s="1"/>
  <c r="C75" i="444"/>
  <c r="C76" i="444" s="1"/>
  <c r="D75" i="453"/>
  <c r="D76" i="453" s="1"/>
  <c r="E75" i="453"/>
  <c r="H75" i="453"/>
  <c r="H77" i="453" s="1"/>
  <c r="H69" i="453" s="1"/>
  <c r="L75" i="449"/>
  <c r="L76" i="449" s="1"/>
  <c r="K77" i="449" s="1"/>
  <c r="K69" i="449" s="1"/>
  <c r="O75" i="444"/>
  <c r="O76" i="444" s="1"/>
  <c r="P11" i="453"/>
  <c r="P54" i="453" s="1"/>
  <c r="P9" i="453"/>
  <c r="P12" i="453"/>
  <c r="Q10" i="453"/>
  <c r="P49" i="453"/>
  <c r="W7" i="444"/>
  <c r="D52" i="444"/>
  <c r="K52" i="444"/>
  <c r="O73" i="446"/>
  <c r="O53" i="446"/>
  <c r="O55" i="446" s="1"/>
  <c r="O52" i="446"/>
  <c r="O82" i="446"/>
  <c r="E75" i="450"/>
  <c r="E76" i="450" s="1"/>
  <c r="G75" i="450"/>
  <c r="G77" i="450" s="1"/>
  <c r="G69" i="450" s="1"/>
  <c r="J75" i="448"/>
  <c r="J77" i="448" s="1"/>
  <c r="J69" i="448" s="1"/>
  <c r="N75" i="455"/>
  <c r="N76" i="455" s="1"/>
  <c r="L75" i="451"/>
  <c r="G66" i="446"/>
  <c r="N66" i="446"/>
  <c r="F66" i="446"/>
  <c r="M66" i="446"/>
  <c r="M76" i="446"/>
  <c r="G75" i="453"/>
  <c r="P12" i="452"/>
  <c r="P9" i="452"/>
  <c r="P11" i="452"/>
  <c r="P54" i="452" s="1"/>
  <c r="Q10" i="452"/>
  <c r="P49" i="452"/>
  <c r="O73" i="452"/>
  <c r="O82" i="452"/>
  <c r="N75" i="451"/>
  <c r="N76" i="451" s="1"/>
  <c r="P11" i="450"/>
  <c r="P54" i="450" s="1"/>
  <c r="P9" i="450"/>
  <c r="P12" i="450"/>
  <c r="Q10" i="450"/>
  <c r="P49" i="450"/>
  <c r="I76" i="450"/>
  <c r="H77" i="450" s="1"/>
  <c r="H69" i="450" s="1"/>
  <c r="B76" i="446"/>
  <c r="AJ76" i="445" s="1"/>
  <c r="C76" i="452"/>
  <c r="B77" i="452" s="1"/>
  <c r="E76" i="454"/>
  <c r="F76" i="453"/>
  <c r="G76" i="451"/>
  <c r="I77" i="451"/>
  <c r="I69" i="451" s="1"/>
  <c r="C77" i="445"/>
  <c r="C69" i="445" s="1"/>
  <c r="H76" i="448"/>
  <c r="J76" i="446"/>
  <c r="K77" i="452"/>
  <c r="K69" i="452" s="1"/>
  <c r="R18" i="27"/>
  <c r="C75" i="449"/>
  <c r="C77" i="449" s="1"/>
  <c r="C69" i="449" s="1"/>
  <c r="D75" i="454"/>
  <c r="G75" i="447"/>
  <c r="G76" i="447" s="1"/>
  <c r="F77" i="447" s="1"/>
  <c r="F69" i="447" s="1"/>
  <c r="G75" i="452"/>
  <c r="H75" i="454"/>
  <c r="H76" i="454" s="1"/>
  <c r="G77" i="454" s="1"/>
  <c r="G69" i="454" s="1"/>
  <c r="L75" i="445"/>
  <c r="L76" i="445" s="1"/>
  <c r="K77" i="445" s="1"/>
  <c r="K69" i="445" s="1"/>
  <c r="M75" i="445"/>
  <c r="M76" i="445" s="1"/>
  <c r="O82" i="455"/>
  <c r="O73" i="455"/>
  <c r="P82" i="444"/>
  <c r="P73" i="444"/>
  <c r="P53" i="444"/>
  <c r="P55" i="444" s="1"/>
  <c r="P52" i="444"/>
  <c r="N75" i="444"/>
  <c r="N75" i="449"/>
  <c r="N76" i="449" s="1"/>
  <c r="M77" i="449" s="1"/>
  <c r="M69" i="449" s="1"/>
  <c r="P73" i="449"/>
  <c r="P82" i="449"/>
  <c r="O73" i="454"/>
  <c r="O82" i="454"/>
  <c r="B75" i="451"/>
  <c r="C75" i="448"/>
  <c r="C76" i="448" s="1"/>
  <c r="D75" i="450"/>
  <c r="F75" i="451"/>
  <c r="H75" i="446"/>
  <c r="O82" i="453"/>
  <c r="O73" i="453"/>
  <c r="M75" i="455"/>
  <c r="B81" i="444"/>
  <c r="C34" i="444"/>
  <c r="P11" i="446"/>
  <c r="P54" i="446" s="1"/>
  <c r="P9" i="446"/>
  <c r="P12" i="446"/>
  <c r="Q10" i="446"/>
  <c r="P49" i="446"/>
  <c r="M76" i="449"/>
  <c r="C75" i="455"/>
  <c r="C77" i="455" s="1"/>
  <c r="C69" i="455" s="1"/>
  <c r="F75" i="446"/>
  <c r="F77" i="446" s="1"/>
  <c r="F69" i="446" s="1"/>
  <c r="H75" i="455"/>
  <c r="K75" i="450"/>
  <c r="Q82" i="445"/>
  <c r="Q53" i="445"/>
  <c r="Q55" i="445" s="1"/>
  <c r="Q52" i="445"/>
  <c r="Q73" i="445"/>
  <c r="N75" i="450"/>
  <c r="O75" i="449"/>
  <c r="O76" i="449" s="1"/>
  <c r="B75" i="444"/>
  <c r="B76" i="444" s="1"/>
  <c r="D75" i="444"/>
  <c r="D77" i="444" s="1"/>
  <c r="D69" i="444" s="1"/>
  <c r="J75" i="454"/>
  <c r="M75" i="453"/>
  <c r="M76" i="453" s="1"/>
  <c r="L77" i="453" s="1"/>
  <c r="L69" i="453" s="1"/>
  <c r="O73" i="450"/>
  <c r="O52" i="450"/>
  <c r="O82" i="450"/>
  <c r="N75" i="446"/>
  <c r="N76" i="446" s="1"/>
  <c r="M77" i="446" s="1"/>
  <c r="M69" i="446" s="1"/>
  <c r="M75" i="452"/>
  <c r="M76" i="452" s="1"/>
  <c r="L77" i="452" s="1"/>
  <c r="L69" i="452" s="1"/>
  <c r="F76" i="449"/>
  <c r="I76" i="447"/>
  <c r="D76" i="447"/>
  <c r="H76" i="445"/>
  <c r="G77" i="448"/>
  <c r="G69" i="448" s="1"/>
  <c r="I77" i="449"/>
  <c r="I69" i="449" s="1"/>
  <c r="J77" i="449"/>
  <c r="J69" i="449" s="1"/>
  <c r="D77" i="445"/>
  <c r="D69" i="445" s="1"/>
  <c r="G76" i="454"/>
  <c r="I76" i="454"/>
  <c r="K76" i="452"/>
  <c r="J77" i="452" s="1"/>
  <c r="J69" i="452" s="1"/>
  <c r="M76" i="444"/>
  <c r="L77" i="444" s="1"/>
  <c r="L69" i="444" s="1"/>
  <c r="R20" i="27"/>
  <c r="R13" i="27"/>
  <c r="R17" i="27"/>
  <c r="R11" i="27"/>
  <c r="R12" i="27"/>
  <c r="R22" i="27"/>
  <c r="B12" i="28"/>
  <c r="B14" i="28"/>
  <c r="B13" i="28"/>
  <c r="B30" i="28"/>
  <c r="B34" i="28"/>
  <c r="D20" i="28"/>
  <c r="B31" i="28"/>
  <c r="D9" i="28"/>
  <c r="D12" i="28" s="1"/>
  <c r="D23" i="28"/>
  <c r="F8" i="28"/>
  <c r="F21" i="28" s="1"/>
  <c r="D25" i="28"/>
  <c r="D26" i="28"/>
  <c r="D24" i="28"/>
  <c r="D28" i="28"/>
  <c r="R25" i="27"/>
  <c r="R24" i="27"/>
  <c r="R31" i="27"/>
  <c r="R30" i="27"/>
  <c r="R27" i="27"/>
  <c r="R28" i="27"/>
  <c r="D27" i="28"/>
  <c r="D22" i="28"/>
  <c r="D19" i="28"/>
  <c r="E19" i="28" s="1"/>
  <c r="D18" i="28"/>
  <c r="E18" i="28" s="1"/>
  <c r="D21" i="28"/>
  <c r="R26" i="27"/>
  <c r="R16" i="27"/>
  <c r="R21" i="27"/>
  <c r="R15" i="27"/>
  <c r="R34" i="27"/>
  <c r="R14" i="27"/>
  <c r="R19" i="27"/>
  <c r="R32" i="27"/>
  <c r="J15" i="1"/>
  <c r="V3" i="446" s="1"/>
  <c r="D17" i="15"/>
  <c r="H16" i="1"/>
  <c r="V2" i="447" s="1"/>
  <c r="J35" i="27"/>
  <c r="O35" i="27"/>
  <c r="H35" i="27"/>
  <c r="E35" i="27"/>
  <c r="I35" i="27"/>
  <c r="G35" i="27"/>
  <c r="K35" i="27"/>
  <c r="B35" i="27"/>
  <c r="R35" i="27"/>
  <c r="M35" i="27"/>
  <c r="D35" i="27"/>
  <c r="P35" i="27"/>
  <c r="L35" i="27"/>
  <c r="F35" i="27"/>
  <c r="T34" i="27"/>
  <c r="T30" i="27"/>
  <c r="T31" i="27"/>
  <c r="T32" i="27"/>
  <c r="T28" i="27"/>
  <c r="T27" i="27"/>
  <c r="T26" i="27"/>
  <c r="T25" i="27"/>
  <c r="T24" i="27"/>
  <c r="C35" i="27"/>
  <c r="M23" i="15" l="1"/>
  <c r="M17" i="15"/>
  <c r="F52" i="450"/>
  <c r="Q7" i="451"/>
  <c r="M52" i="450"/>
  <c r="M25" i="15"/>
  <c r="AN65" i="444"/>
  <c r="AI65" i="445" s="1"/>
  <c r="M15" i="15"/>
  <c r="S7" i="455"/>
  <c r="K52" i="454"/>
  <c r="D52" i="454"/>
  <c r="R7" i="449"/>
  <c r="E52" i="448"/>
  <c r="L52" i="448"/>
  <c r="M26" i="15"/>
  <c r="M22" i="15"/>
  <c r="W7" i="448"/>
  <c r="T7" i="450"/>
  <c r="D52" i="449"/>
  <c r="K52" i="449"/>
  <c r="M20" i="15"/>
  <c r="AK65" i="445"/>
  <c r="AL65" i="446" s="1"/>
  <c r="AN65" i="446" s="1"/>
  <c r="AK65" i="447" s="1"/>
  <c r="AM65" i="447" s="1"/>
  <c r="AL65" i="448" s="1"/>
  <c r="AN65" i="448" s="1"/>
  <c r="AK65" i="449" s="1"/>
  <c r="AM65" i="449" s="1"/>
  <c r="AL65" i="450" s="1"/>
  <c r="AN65" i="450" s="1"/>
  <c r="AL65" i="451" s="1"/>
  <c r="AN65" i="451" s="1"/>
  <c r="AK65" i="452" s="1"/>
  <c r="AM65" i="452" s="1"/>
  <c r="AL65" i="453" s="1"/>
  <c r="AN65" i="453" s="1"/>
  <c r="AK65" i="454" s="1"/>
  <c r="AM65" i="454" s="1"/>
  <c r="AL65" i="455" s="1"/>
  <c r="AN65" i="455" s="1"/>
  <c r="M16" i="15"/>
  <c r="L32" i="15"/>
  <c r="M19" i="15"/>
  <c r="U7" i="453"/>
  <c r="D52" i="452"/>
  <c r="K52" i="452"/>
  <c r="M21" i="15"/>
  <c r="P7" i="451"/>
  <c r="E52" i="450"/>
  <c r="L52" i="450"/>
  <c r="M24" i="15"/>
  <c r="M18" i="15"/>
  <c r="L31" i="15"/>
  <c r="L27" i="15"/>
  <c r="D77" i="454"/>
  <c r="D69" i="454" s="1"/>
  <c r="E76" i="447"/>
  <c r="D77" i="447" s="1"/>
  <c r="D69" i="447" s="1"/>
  <c r="F77" i="451"/>
  <c r="F69" i="451" s="1"/>
  <c r="L76" i="454"/>
  <c r="K77" i="454" s="1"/>
  <c r="K69" i="454" s="1"/>
  <c r="F77" i="445"/>
  <c r="F69" i="445" s="1"/>
  <c r="N77" i="447"/>
  <c r="N69" i="447" s="1"/>
  <c r="H76" i="453"/>
  <c r="G77" i="453" s="1"/>
  <c r="G69" i="453" s="1"/>
  <c r="J76" i="445"/>
  <c r="G77" i="452"/>
  <c r="G69" i="452" s="1"/>
  <c r="B77" i="450"/>
  <c r="B69" i="450" s="1"/>
  <c r="J77" i="454"/>
  <c r="J69" i="454" s="1"/>
  <c r="H77" i="455"/>
  <c r="H69" i="455" s="1"/>
  <c r="C76" i="455"/>
  <c r="C76" i="449"/>
  <c r="B77" i="449" s="1"/>
  <c r="B69" i="449" s="1"/>
  <c r="L76" i="447"/>
  <c r="K77" i="447" s="1"/>
  <c r="K69" i="447" s="1"/>
  <c r="B76" i="450"/>
  <c r="AL76" i="449" s="1"/>
  <c r="G77" i="449"/>
  <c r="G69" i="449" s="1"/>
  <c r="H77" i="446"/>
  <c r="H69" i="446" s="1"/>
  <c r="D77" i="450"/>
  <c r="D69" i="450" s="1"/>
  <c r="N77" i="444"/>
  <c r="N69" i="444" s="1"/>
  <c r="L77" i="451"/>
  <c r="L69" i="451" s="1"/>
  <c r="M77" i="455"/>
  <c r="M69" i="455" s="1"/>
  <c r="H76" i="446"/>
  <c r="G77" i="446" s="1"/>
  <c r="G69" i="446" s="1"/>
  <c r="D76" i="450"/>
  <c r="N76" i="444"/>
  <c r="M77" i="444" s="1"/>
  <c r="M69" i="444" s="1"/>
  <c r="J76" i="448"/>
  <c r="I77" i="448" s="1"/>
  <c r="I69" i="448" s="1"/>
  <c r="E77" i="450"/>
  <c r="E69" i="450" s="1"/>
  <c r="I77" i="445"/>
  <c r="I69" i="445" s="1"/>
  <c r="D76" i="451"/>
  <c r="C77" i="451" s="1"/>
  <c r="C69" i="451" s="1"/>
  <c r="K76" i="453"/>
  <c r="J77" i="453" s="1"/>
  <c r="J69" i="453" s="1"/>
  <c r="B69" i="453"/>
  <c r="N53" i="447"/>
  <c r="M53" i="447"/>
  <c r="I53" i="447"/>
  <c r="F53" i="447"/>
  <c r="K53" i="447"/>
  <c r="K55" i="447" s="1"/>
  <c r="H53" i="447"/>
  <c r="G53" i="447"/>
  <c r="O53" i="447"/>
  <c r="D53" i="447"/>
  <c r="D55" i="447" s="1"/>
  <c r="J53" i="447"/>
  <c r="J55" i="447" s="1"/>
  <c r="C53" i="447"/>
  <c r="C55" i="447" s="1"/>
  <c r="E53" i="447"/>
  <c r="B53" i="447"/>
  <c r="L53" i="447"/>
  <c r="B69" i="447"/>
  <c r="O75" i="450"/>
  <c r="J76" i="454"/>
  <c r="I77" i="454" s="1"/>
  <c r="I69" i="454" s="1"/>
  <c r="D76" i="444"/>
  <c r="C77" i="444" s="1"/>
  <c r="C69" i="444" s="1"/>
  <c r="B77" i="444"/>
  <c r="H76" i="455"/>
  <c r="G77" i="455" s="1"/>
  <c r="G69" i="455" s="1"/>
  <c r="F76" i="446"/>
  <c r="P73" i="446"/>
  <c r="P53" i="446"/>
  <c r="P55" i="446" s="1"/>
  <c r="P52" i="446"/>
  <c r="P82" i="446"/>
  <c r="F76" i="451"/>
  <c r="E77" i="451" s="1"/>
  <c r="E69" i="451" s="1"/>
  <c r="O75" i="455"/>
  <c r="O76" i="455" s="1"/>
  <c r="N77" i="455" s="1"/>
  <c r="N69" i="455" s="1"/>
  <c r="Q11" i="452"/>
  <c r="Q54" i="452" s="1"/>
  <c r="R10" i="452"/>
  <c r="Q12" i="452"/>
  <c r="Q9" i="452"/>
  <c r="Q49" i="452"/>
  <c r="J66" i="444"/>
  <c r="I66" i="444"/>
  <c r="C66" i="444"/>
  <c r="B66" i="444"/>
  <c r="P66" i="444"/>
  <c r="L77" i="449"/>
  <c r="L69" i="449" s="1"/>
  <c r="Q82" i="444"/>
  <c r="Q73" i="444"/>
  <c r="Q53" i="444"/>
  <c r="Q52" i="444"/>
  <c r="Q66" i="444" s="1"/>
  <c r="I76" i="445"/>
  <c r="H77" i="445" s="1"/>
  <c r="H69" i="445" s="1"/>
  <c r="N76" i="447"/>
  <c r="M77" i="447" s="1"/>
  <c r="M69" i="447" s="1"/>
  <c r="G76" i="449"/>
  <c r="F77" i="449" s="1"/>
  <c r="F69" i="449" s="1"/>
  <c r="I76" i="452"/>
  <c r="H77" i="452" s="1"/>
  <c r="H69" i="452" s="1"/>
  <c r="Q82" i="449"/>
  <c r="Q52" i="449"/>
  <c r="Q73" i="449"/>
  <c r="C77" i="446"/>
  <c r="C69" i="446" s="1"/>
  <c r="B77" i="454"/>
  <c r="B69" i="452"/>
  <c r="Q75" i="445"/>
  <c r="Q76" i="445" s="1"/>
  <c r="P77" i="445" s="1"/>
  <c r="P69" i="445" s="1"/>
  <c r="D34" i="444"/>
  <c r="C81" i="444"/>
  <c r="O75" i="454"/>
  <c r="O76" i="454" s="1"/>
  <c r="N77" i="454" s="1"/>
  <c r="N69" i="454" s="1"/>
  <c r="G76" i="452"/>
  <c r="F77" i="452" s="1"/>
  <c r="F69" i="452" s="1"/>
  <c r="Q12" i="450"/>
  <c r="R10" i="450"/>
  <c r="Q11" i="450"/>
  <c r="Q54" i="450" s="1"/>
  <c r="Q9" i="450"/>
  <c r="Q49" i="450"/>
  <c r="O75" i="452"/>
  <c r="O76" i="452" s="1"/>
  <c r="N77" i="452" s="1"/>
  <c r="N69" i="452" s="1"/>
  <c r="G76" i="453"/>
  <c r="F77" i="453" s="1"/>
  <c r="F69" i="453" s="1"/>
  <c r="O75" i="446"/>
  <c r="Q11" i="453"/>
  <c r="Q54" i="453" s="1"/>
  <c r="Q9" i="453"/>
  <c r="Q12" i="453"/>
  <c r="R10" i="453"/>
  <c r="Q49" i="453"/>
  <c r="E77" i="453"/>
  <c r="E69" i="453" s="1"/>
  <c r="Q11" i="455"/>
  <c r="Q54" i="455" s="1"/>
  <c r="Q12" i="455"/>
  <c r="R10" i="455"/>
  <c r="Q9" i="455"/>
  <c r="Q49" i="455"/>
  <c r="P75" i="447"/>
  <c r="P76" i="447" s="1"/>
  <c r="O77" i="447" s="1"/>
  <c r="O69" i="447" s="1"/>
  <c r="I77" i="446"/>
  <c r="I69" i="446" s="1"/>
  <c r="M76" i="450"/>
  <c r="L77" i="450" s="1"/>
  <c r="L69" i="450" s="1"/>
  <c r="C76" i="451"/>
  <c r="B77" i="451" s="1"/>
  <c r="Q11" i="451"/>
  <c r="Q54" i="451" s="1"/>
  <c r="Q9" i="451"/>
  <c r="Q12" i="451"/>
  <c r="R10" i="451"/>
  <c r="Q49" i="451"/>
  <c r="F77" i="454"/>
  <c r="F69" i="454" s="1"/>
  <c r="T10" i="445"/>
  <c r="S9" i="445"/>
  <c r="S12" i="445"/>
  <c r="S11" i="445"/>
  <c r="S54" i="445" s="1"/>
  <c r="S49" i="445"/>
  <c r="N76" i="448"/>
  <c r="M77" i="448" s="1"/>
  <c r="M69" i="448" s="1"/>
  <c r="J76" i="444"/>
  <c r="I77" i="444" s="1"/>
  <c r="I69" i="444" s="1"/>
  <c r="C77" i="450"/>
  <c r="C69" i="450" s="1"/>
  <c r="Q12" i="448"/>
  <c r="R10" i="448"/>
  <c r="Q11" i="448"/>
  <c r="Q54" i="448" s="1"/>
  <c r="Q9" i="448"/>
  <c r="Q49" i="448"/>
  <c r="F77" i="455"/>
  <c r="F69" i="455" s="1"/>
  <c r="E77" i="449"/>
  <c r="E69" i="449" s="1"/>
  <c r="P82" i="454"/>
  <c r="P73" i="454"/>
  <c r="R11" i="449"/>
  <c r="R54" i="449" s="1"/>
  <c r="S10" i="449"/>
  <c r="R12" i="449"/>
  <c r="R9" i="449"/>
  <c r="R49" i="449"/>
  <c r="M76" i="448"/>
  <c r="L77" i="448" s="1"/>
  <c r="L69" i="448" s="1"/>
  <c r="M77" i="452"/>
  <c r="M69" i="452" s="1"/>
  <c r="N76" i="450"/>
  <c r="M77" i="450" s="1"/>
  <c r="M69" i="450" s="1"/>
  <c r="K76" i="450"/>
  <c r="J77" i="450" s="1"/>
  <c r="J69" i="450" s="1"/>
  <c r="M76" i="455"/>
  <c r="L77" i="455" s="1"/>
  <c r="L69" i="455" s="1"/>
  <c r="B76" i="451"/>
  <c r="AM76" i="450" s="1"/>
  <c r="P75" i="449"/>
  <c r="P76" i="449" s="1"/>
  <c r="O77" i="449" s="1"/>
  <c r="O69" i="449" s="1"/>
  <c r="L77" i="445"/>
  <c r="L69" i="445" s="1"/>
  <c r="H77" i="454"/>
  <c r="H69" i="454" s="1"/>
  <c r="G77" i="447"/>
  <c r="G69" i="447" s="1"/>
  <c r="D76" i="454"/>
  <c r="C77" i="454" s="1"/>
  <c r="C69" i="454" s="1"/>
  <c r="P73" i="450"/>
  <c r="P82" i="450"/>
  <c r="P52" i="450"/>
  <c r="L76" i="451"/>
  <c r="K77" i="451" s="1"/>
  <c r="K69" i="451" s="1"/>
  <c r="G76" i="450"/>
  <c r="F77" i="450" s="1"/>
  <c r="P82" i="453"/>
  <c r="P73" i="453"/>
  <c r="P52" i="453"/>
  <c r="E76" i="453"/>
  <c r="D77" i="453" s="1"/>
  <c r="D69" i="453" s="1"/>
  <c r="L77" i="446"/>
  <c r="L69" i="446" s="1"/>
  <c r="L76" i="450"/>
  <c r="K77" i="450" s="1"/>
  <c r="K69" i="450" s="1"/>
  <c r="O75" i="451"/>
  <c r="N76" i="453"/>
  <c r="M77" i="453" s="1"/>
  <c r="M69" i="453" s="1"/>
  <c r="P82" i="455"/>
  <c r="P73" i="455"/>
  <c r="P52" i="455"/>
  <c r="I76" i="448"/>
  <c r="H77" i="448" s="1"/>
  <c r="H69" i="448" s="1"/>
  <c r="F76" i="445"/>
  <c r="E77" i="445" s="1"/>
  <c r="E69" i="445" s="1"/>
  <c r="P53" i="447"/>
  <c r="P55" i="447" s="1"/>
  <c r="Q73" i="447"/>
  <c r="Q82" i="447"/>
  <c r="Q52" i="447"/>
  <c r="Q66" i="447" s="1"/>
  <c r="Q53" i="447"/>
  <c r="Q55" i="447" s="1"/>
  <c r="O75" i="448"/>
  <c r="H77" i="447"/>
  <c r="H69" i="447" s="1"/>
  <c r="G77" i="445"/>
  <c r="G69" i="445" s="1"/>
  <c r="B77" i="448"/>
  <c r="P73" i="451"/>
  <c r="P82" i="451"/>
  <c r="P52" i="451"/>
  <c r="M77" i="451"/>
  <c r="M69" i="451" s="1"/>
  <c r="P73" i="448"/>
  <c r="P82" i="448"/>
  <c r="P52" i="448"/>
  <c r="P66" i="448" s="1"/>
  <c r="F76" i="455"/>
  <c r="E77" i="455" s="1"/>
  <c r="E69" i="455" s="1"/>
  <c r="C77" i="447"/>
  <c r="C69" i="447" s="1"/>
  <c r="Q11" i="454"/>
  <c r="Q54" i="454" s="1"/>
  <c r="R10" i="454"/>
  <c r="Q12" i="454"/>
  <c r="Q9" i="454"/>
  <c r="Q49" i="454"/>
  <c r="J76" i="455"/>
  <c r="I77" i="455" s="1"/>
  <c r="I69" i="455" s="1"/>
  <c r="H76" i="444"/>
  <c r="G77" i="444" s="1"/>
  <c r="G69" i="444" s="1"/>
  <c r="F76" i="448"/>
  <c r="E77" i="448" s="1"/>
  <c r="E69" i="448" s="1"/>
  <c r="E76" i="452"/>
  <c r="D77" i="452" s="1"/>
  <c r="D69" i="452" s="1"/>
  <c r="M53" i="446"/>
  <c r="M55" i="446" s="1"/>
  <c r="L53" i="446"/>
  <c r="G53" i="446"/>
  <c r="G55" i="446" s="1"/>
  <c r="N53" i="446"/>
  <c r="N55" i="446" s="1"/>
  <c r="I53" i="446"/>
  <c r="B53" i="446"/>
  <c r="J53" i="446"/>
  <c r="C53" i="446"/>
  <c r="K53" i="446"/>
  <c r="H53" i="446"/>
  <c r="F53" i="446"/>
  <c r="F55" i="446" s="1"/>
  <c r="E53" i="446"/>
  <c r="D53" i="446"/>
  <c r="Q12" i="446"/>
  <c r="R10" i="446"/>
  <c r="Q49" i="446"/>
  <c r="Q11" i="446"/>
  <c r="Q54" i="446" s="1"/>
  <c r="Q9" i="446"/>
  <c r="O75" i="453"/>
  <c r="O76" i="453" s="1"/>
  <c r="N77" i="453" s="1"/>
  <c r="N69" i="453" s="1"/>
  <c r="C77" i="448"/>
  <c r="C69" i="448" s="1"/>
  <c r="N77" i="449"/>
  <c r="N69" i="449" s="1"/>
  <c r="P75" i="444"/>
  <c r="P76" i="444" s="1"/>
  <c r="O77" i="444" s="1"/>
  <c r="O69" i="444" s="1"/>
  <c r="M77" i="445"/>
  <c r="M69" i="445" s="1"/>
  <c r="P82" i="452"/>
  <c r="P52" i="452"/>
  <c r="P73" i="452"/>
  <c r="S10" i="444"/>
  <c r="R9" i="444"/>
  <c r="R11" i="444"/>
  <c r="R54" i="444" s="1"/>
  <c r="R12" i="444"/>
  <c r="R49" i="444"/>
  <c r="R68" i="444"/>
  <c r="R56" i="444"/>
  <c r="C77" i="453"/>
  <c r="C69" i="453" s="1"/>
  <c r="B69" i="446"/>
  <c r="R11" i="447"/>
  <c r="R54" i="447" s="1"/>
  <c r="S10" i="447"/>
  <c r="R12" i="447"/>
  <c r="R9" i="447"/>
  <c r="R49" i="447"/>
  <c r="B77" i="455"/>
  <c r="O77" i="445"/>
  <c r="O69" i="445" s="1"/>
  <c r="E77" i="446"/>
  <c r="E69" i="446" s="1"/>
  <c r="D77" i="448"/>
  <c r="D69" i="448" s="1"/>
  <c r="R82" i="445"/>
  <c r="R52" i="445"/>
  <c r="R73" i="445"/>
  <c r="R53" i="445"/>
  <c r="R55" i="445" s="1"/>
  <c r="N77" i="445"/>
  <c r="N69" i="445" s="1"/>
  <c r="J77" i="447"/>
  <c r="J69" i="447" s="1"/>
  <c r="E20" i="28"/>
  <c r="B32" i="28"/>
  <c r="B15" i="28"/>
  <c r="D13" i="28"/>
  <c r="D11" i="28"/>
  <c r="D14" i="28"/>
  <c r="F19" i="28"/>
  <c r="G19" i="28" s="1"/>
  <c r="F24" i="28"/>
  <c r="F17" i="28"/>
  <c r="G17" i="28" s="1"/>
  <c r="F23" i="28"/>
  <c r="F28" i="28"/>
  <c r="H8" i="28"/>
  <c r="H20" i="28" s="1"/>
  <c r="I20" i="28" s="1"/>
  <c r="F18" i="28"/>
  <c r="G18" i="28" s="1"/>
  <c r="F20" i="28"/>
  <c r="G20" i="28" s="1"/>
  <c r="F25" i="28"/>
  <c r="F27" i="28"/>
  <c r="F9" i="28"/>
  <c r="F13" i="28" s="1"/>
  <c r="F26" i="28"/>
  <c r="F22" i="28"/>
  <c r="D34" i="28"/>
  <c r="D31" i="28"/>
  <c r="D30" i="28"/>
  <c r="J16" i="1"/>
  <c r="V3" i="447" s="1"/>
  <c r="D18" i="15"/>
  <c r="H17" i="1"/>
  <c r="V2" i="448" s="1"/>
  <c r="P53" i="448" s="1"/>
  <c r="P55" i="448" s="1"/>
  <c r="C20" i="28"/>
  <c r="D55" i="446" l="1"/>
  <c r="K55" i="446"/>
  <c r="I55" i="446"/>
  <c r="G55" i="447"/>
  <c r="I55" i="447"/>
  <c r="M32" i="15"/>
  <c r="U7" i="454"/>
  <c r="B52" i="453"/>
  <c r="I52" i="453"/>
  <c r="B66" i="448"/>
  <c r="I66" i="448"/>
  <c r="H66" i="448"/>
  <c r="AN65" i="452"/>
  <c r="AN65" i="449"/>
  <c r="AL65" i="445"/>
  <c r="AO65" i="455"/>
  <c r="AO65" i="451"/>
  <c r="AN65" i="447"/>
  <c r="M27" i="15"/>
  <c r="AN65" i="454"/>
  <c r="AO65" i="450"/>
  <c r="AO65" i="446"/>
  <c r="AO65" i="453"/>
  <c r="AO65" i="448"/>
  <c r="AO65" i="444"/>
  <c r="M31" i="15"/>
  <c r="E55" i="446"/>
  <c r="L55" i="447"/>
  <c r="H55" i="447"/>
  <c r="M55" i="447"/>
  <c r="Q7" i="452"/>
  <c r="C52" i="451"/>
  <c r="J52" i="451"/>
  <c r="C55" i="446"/>
  <c r="J55" i="446"/>
  <c r="N55" i="447"/>
  <c r="B52" i="455"/>
  <c r="I52" i="455"/>
  <c r="H55" i="446"/>
  <c r="L55" i="446"/>
  <c r="E55" i="447"/>
  <c r="O55" i="447"/>
  <c r="F55" i="447"/>
  <c r="P7" i="452"/>
  <c r="I52" i="451"/>
  <c r="B52" i="451"/>
  <c r="T7" i="451"/>
  <c r="B52" i="450"/>
  <c r="I52" i="450"/>
  <c r="R7" i="450"/>
  <c r="I52" i="449"/>
  <c r="B52" i="449"/>
  <c r="W7" i="449"/>
  <c r="P52" i="449"/>
  <c r="O66" i="448"/>
  <c r="F69" i="450"/>
  <c r="B69" i="451"/>
  <c r="R75" i="445"/>
  <c r="R76" i="445" s="1"/>
  <c r="Q77" i="445" s="1"/>
  <c r="Q69" i="445" s="1"/>
  <c r="P75" i="452"/>
  <c r="P76" i="452" s="1"/>
  <c r="O77" i="452" s="1"/>
  <c r="R11" i="446"/>
  <c r="R54" i="446" s="1"/>
  <c r="R12" i="446"/>
  <c r="R9" i="446"/>
  <c r="S10" i="446"/>
  <c r="R49" i="446"/>
  <c r="B69" i="448"/>
  <c r="P75" i="450"/>
  <c r="P76" i="450" s="1"/>
  <c r="O77" i="450" s="1"/>
  <c r="O69" i="450" s="1"/>
  <c r="R82" i="449"/>
  <c r="R52" i="449"/>
  <c r="R73" i="449"/>
  <c r="P75" i="454"/>
  <c r="P76" i="454" s="1"/>
  <c r="O77" i="454" s="1"/>
  <c r="O69" i="454" s="1"/>
  <c r="S82" i="445"/>
  <c r="S73" i="445"/>
  <c r="S53" i="445"/>
  <c r="S55" i="445" s="1"/>
  <c r="S52" i="445"/>
  <c r="Q82" i="451"/>
  <c r="Q73" i="451"/>
  <c r="Q52" i="451"/>
  <c r="R12" i="455"/>
  <c r="R9" i="455"/>
  <c r="S10" i="455"/>
  <c r="R11" i="455"/>
  <c r="R54" i="455" s="1"/>
  <c r="R49" i="455"/>
  <c r="B69" i="454"/>
  <c r="Q75" i="449"/>
  <c r="Q76" i="449" s="1"/>
  <c r="P77" i="449" s="1"/>
  <c r="P69" i="449" s="1"/>
  <c r="Q73" i="452"/>
  <c r="Q82" i="452"/>
  <c r="B55" i="447"/>
  <c r="M53" i="448"/>
  <c r="M55" i="448" s="1"/>
  <c r="N53" i="448"/>
  <c r="N55" i="448" s="1"/>
  <c r="C53" i="448"/>
  <c r="C55" i="448" s="1"/>
  <c r="F53" i="448"/>
  <c r="F55" i="448" s="1"/>
  <c r="K53" i="448"/>
  <c r="K55" i="448" s="1"/>
  <c r="D53" i="448"/>
  <c r="D55" i="448" s="1"/>
  <c r="B53" i="448"/>
  <c r="H53" i="448"/>
  <c r="H55" i="448" s="1"/>
  <c r="G53" i="448"/>
  <c r="G55" i="448" s="1"/>
  <c r="J53" i="448"/>
  <c r="J55" i="448" s="1"/>
  <c r="E53" i="448"/>
  <c r="E55" i="448" s="1"/>
  <c r="I53" i="448"/>
  <c r="I55" i="448" s="1"/>
  <c r="L53" i="448"/>
  <c r="L55" i="448" s="1"/>
  <c r="O53" i="448"/>
  <c r="O55" i="448" s="1"/>
  <c r="R82" i="447"/>
  <c r="R52" i="447"/>
  <c r="R66" i="447" s="1"/>
  <c r="R53" i="447"/>
  <c r="R55" i="447" s="1"/>
  <c r="R73" i="447"/>
  <c r="R73" i="444"/>
  <c r="R53" i="444"/>
  <c r="R55" i="444" s="1"/>
  <c r="R52" i="444"/>
  <c r="R82" i="444"/>
  <c r="S11" i="444"/>
  <c r="S54" i="444" s="1"/>
  <c r="S9" i="444"/>
  <c r="T10" i="444"/>
  <c r="S12" i="444"/>
  <c r="S49" i="444"/>
  <c r="S68" i="444"/>
  <c r="S56" i="444"/>
  <c r="Q82" i="446"/>
  <c r="Q73" i="446"/>
  <c r="Q52" i="446"/>
  <c r="Q53" i="446"/>
  <c r="Q55" i="446" s="1"/>
  <c r="P75" i="448"/>
  <c r="P76" i="448" s="1"/>
  <c r="O77" i="448" s="1"/>
  <c r="O69" i="448" s="1"/>
  <c r="P75" i="455"/>
  <c r="P76" i="455" s="1"/>
  <c r="O77" i="455" s="1"/>
  <c r="O69" i="455" s="1"/>
  <c r="R11" i="448"/>
  <c r="R54" i="448" s="1"/>
  <c r="R9" i="448"/>
  <c r="R12" i="448"/>
  <c r="S10" i="448"/>
  <c r="R49" i="448"/>
  <c r="Q82" i="455"/>
  <c r="Q73" i="455"/>
  <c r="R12" i="453"/>
  <c r="S10" i="453"/>
  <c r="R11" i="453"/>
  <c r="R54" i="453" s="1"/>
  <c r="R9" i="453"/>
  <c r="R49" i="453"/>
  <c r="O76" i="446"/>
  <c r="N77" i="446" s="1"/>
  <c r="Q55" i="444"/>
  <c r="B69" i="444"/>
  <c r="O76" i="450"/>
  <c r="N77" i="450" s="1"/>
  <c r="N69" i="450" s="1"/>
  <c r="B69" i="455"/>
  <c r="B55" i="446"/>
  <c r="Q73" i="454"/>
  <c r="Q82" i="454"/>
  <c r="O76" i="448"/>
  <c r="N77" i="448" s="1"/>
  <c r="N69" i="448" s="1"/>
  <c r="Q75" i="447"/>
  <c r="Q76" i="447" s="1"/>
  <c r="P77" i="447" s="1"/>
  <c r="P75" i="453"/>
  <c r="P76" i="453" s="1"/>
  <c r="O77" i="453" s="1"/>
  <c r="S11" i="449"/>
  <c r="S54" i="449" s="1"/>
  <c r="T10" i="449"/>
  <c r="S12" i="449"/>
  <c r="S9" i="449"/>
  <c r="S49" i="449"/>
  <c r="Q73" i="448"/>
  <c r="Q53" i="448"/>
  <c r="Q55" i="448" s="1"/>
  <c r="Q52" i="448"/>
  <c r="Q82" i="448"/>
  <c r="T12" i="445"/>
  <c r="T11" i="445"/>
  <c r="T54" i="445" s="1"/>
  <c r="T9" i="445"/>
  <c r="U10" i="445"/>
  <c r="T49" i="445"/>
  <c r="Q73" i="453"/>
  <c r="Q52" i="453"/>
  <c r="Q82" i="453"/>
  <c r="R11" i="450"/>
  <c r="R54" i="450" s="1"/>
  <c r="R9" i="450"/>
  <c r="R12" i="450"/>
  <c r="S10" i="450"/>
  <c r="R49" i="450"/>
  <c r="Q75" i="444"/>
  <c r="R11" i="452"/>
  <c r="R54" i="452" s="1"/>
  <c r="S10" i="452"/>
  <c r="R12" i="452"/>
  <c r="R9" i="452"/>
  <c r="R49" i="452"/>
  <c r="P75" i="446"/>
  <c r="S12" i="447"/>
  <c r="S9" i="447"/>
  <c r="S11" i="447"/>
  <c r="S54" i="447" s="1"/>
  <c r="T10" i="447"/>
  <c r="S49" i="447"/>
  <c r="R11" i="454"/>
  <c r="R54" i="454" s="1"/>
  <c r="S10" i="454"/>
  <c r="R12" i="454"/>
  <c r="R9" i="454"/>
  <c r="R49" i="454"/>
  <c r="P75" i="451"/>
  <c r="O76" i="451"/>
  <c r="N77" i="451" s="1"/>
  <c r="N69" i="451" s="1"/>
  <c r="R12" i="451"/>
  <c r="S10" i="451"/>
  <c r="R11" i="451"/>
  <c r="R54" i="451" s="1"/>
  <c r="R9" i="451"/>
  <c r="R49" i="451"/>
  <c r="Q82" i="450"/>
  <c r="Q52" i="450"/>
  <c r="Q73" i="450"/>
  <c r="E34" i="444"/>
  <c r="D81" i="444"/>
  <c r="H21" i="28"/>
  <c r="I21" i="28" s="1"/>
  <c r="H9" i="28"/>
  <c r="H14" i="28" s="1"/>
  <c r="J8" i="28"/>
  <c r="J9" i="28" s="1"/>
  <c r="H28" i="28"/>
  <c r="H26" i="28"/>
  <c r="H23" i="28"/>
  <c r="H27" i="28"/>
  <c r="H17" i="28"/>
  <c r="I17" i="28" s="1"/>
  <c r="H22" i="28"/>
  <c r="H25" i="28"/>
  <c r="F12" i="28"/>
  <c r="D32" i="28"/>
  <c r="F11" i="28"/>
  <c r="H19" i="28"/>
  <c r="I19" i="28" s="1"/>
  <c r="H24" i="28"/>
  <c r="H18" i="28"/>
  <c r="I18" i="28" s="1"/>
  <c r="F30" i="28"/>
  <c r="F34" i="28"/>
  <c r="F31" i="28"/>
  <c r="F14" i="28"/>
  <c r="D15" i="28"/>
  <c r="J17" i="1"/>
  <c r="V3" i="448" s="1"/>
  <c r="H18" i="1"/>
  <c r="V2" i="449" s="1"/>
  <c r="R53" i="449" s="1"/>
  <c r="R55" i="449" s="1"/>
  <c r="D19" i="15"/>
  <c r="C21" i="28"/>
  <c r="E21" i="28"/>
  <c r="G21" i="28"/>
  <c r="G52" i="450" l="1"/>
  <c r="R7" i="451"/>
  <c r="N52" i="450"/>
  <c r="W7" i="450"/>
  <c r="G52" i="452"/>
  <c r="Q7" i="453"/>
  <c r="N52" i="452"/>
  <c r="F52" i="454"/>
  <c r="U7" i="455"/>
  <c r="M52" i="454"/>
  <c r="G66" i="449"/>
  <c r="M66" i="449"/>
  <c r="L66" i="449"/>
  <c r="E66" i="449"/>
  <c r="F66" i="449"/>
  <c r="AP65" i="455"/>
  <c r="AP65" i="451"/>
  <c r="AP65" i="446"/>
  <c r="AO65" i="454"/>
  <c r="AP65" i="450"/>
  <c r="AO65" i="447"/>
  <c r="AP65" i="453"/>
  <c r="AO65" i="449"/>
  <c r="AP65" i="444"/>
  <c r="AO65" i="452"/>
  <c r="AP65" i="448"/>
  <c r="AM65" i="445"/>
  <c r="M28" i="15"/>
  <c r="M29" i="15" s="1"/>
  <c r="Q66" i="450"/>
  <c r="M52" i="451"/>
  <c r="T7" i="452"/>
  <c r="F52" i="451"/>
  <c r="P7" i="453"/>
  <c r="M52" i="452"/>
  <c r="F52" i="452"/>
  <c r="O69" i="452"/>
  <c r="O69" i="453"/>
  <c r="P69" i="447"/>
  <c r="Q75" i="450"/>
  <c r="R73" i="454"/>
  <c r="R82" i="454"/>
  <c r="R52" i="454"/>
  <c r="Q75" i="448"/>
  <c r="S53" i="449"/>
  <c r="S55" i="449" s="1"/>
  <c r="S73" i="449"/>
  <c r="S82" i="449"/>
  <c r="S52" i="449"/>
  <c r="S66" i="449" s="1"/>
  <c r="R82" i="448"/>
  <c r="R73" i="448"/>
  <c r="R53" i="448"/>
  <c r="R55" i="448" s="1"/>
  <c r="R52" i="448"/>
  <c r="S73" i="444"/>
  <c r="S53" i="444"/>
  <c r="S52" i="444"/>
  <c r="S82" i="444"/>
  <c r="R75" i="444"/>
  <c r="R76" i="444" s="1"/>
  <c r="Q77" i="444" s="1"/>
  <c r="Q69" i="444" s="1"/>
  <c r="Q75" i="452"/>
  <c r="Q76" i="452" s="1"/>
  <c r="P77" i="452" s="1"/>
  <c r="S11" i="455"/>
  <c r="S54" i="455" s="1"/>
  <c r="S9" i="455"/>
  <c r="T10" i="455"/>
  <c r="S12" i="455"/>
  <c r="S49" i="455"/>
  <c r="R82" i="446"/>
  <c r="R73" i="446"/>
  <c r="R53" i="446"/>
  <c r="R52" i="446"/>
  <c r="P76" i="451"/>
  <c r="O77" i="451" s="1"/>
  <c r="O69" i="451" s="1"/>
  <c r="S12" i="454"/>
  <c r="S9" i="454"/>
  <c r="S11" i="454"/>
  <c r="S54" i="454" s="1"/>
  <c r="T10" i="454"/>
  <c r="S49" i="454"/>
  <c r="T12" i="447"/>
  <c r="T9" i="447"/>
  <c r="T11" i="447"/>
  <c r="T54" i="447" s="1"/>
  <c r="U10" i="447"/>
  <c r="T49" i="447"/>
  <c r="S52" i="447"/>
  <c r="S66" i="447" s="1"/>
  <c r="S53" i="447"/>
  <c r="S55" i="447" s="1"/>
  <c r="S73" i="447"/>
  <c r="S82" i="447"/>
  <c r="Q75" i="453"/>
  <c r="U12" i="445"/>
  <c r="U11" i="445"/>
  <c r="U54" i="445" s="1"/>
  <c r="V10" i="445"/>
  <c r="U9" i="445"/>
  <c r="U49" i="445"/>
  <c r="N69" i="446"/>
  <c r="S11" i="453"/>
  <c r="S54" i="453" s="1"/>
  <c r="S9" i="453"/>
  <c r="S12" i="453"/>
  <c r="T10" i="453"/>
  <c r="S49" i="453"/>
  <c r="T11" i="444"/>
  <c r="T54" i="444" s="1"/>
  <c r="T9" i="444"/>
  <c r="T12" i="444"/>
  <c r="U10" i="444"/>
  <c r="T49" i="444"/>
  <c r="T56" i="444"/>
  <c r="T68" i="444"/>
  <c r="B55" i="448"/>
  <c r="Q75" i="451"/>
  <c r="Q76" i="451" s="1"/>
  <c r="P77" i="451" s="1"/>
  <c r="S11" i="451"/>
  <c r="S54" i="451" s="1"/>
  <c r="S9" i="451"/>
  <c r="S12" i="451"/>
  <c r="T10" i="451"/>
  <c r="S49" i="451"/>
  <c r="S49" i="450"/>
  <c r="S11" i="450"/>
  <c r="S54" i="450" s="1"/>
  <c r="S9" i="450"/>
  <c r="S12" i="450"/>
  <c r="T10" i="450"/>
  <c r="T73" i="445"/>
  <c r="T53" i="445"/>
  <c r="T52" i="445"/>
  <c r="T66" i="445" s="1"/>
  <c r="T82" i="445"/>
  <c r="T12" i="449"/>
  <c r="T9" i="449"/>
  <c r="T11" i="449"/>
  <c r="T54" i="449" s="1"/>
  <c r="U10" i="449"/>
  <c r="T49" i="449"/>
  <c r="Q75" i="454"/>
  <c r="R82" i="453"/>
  <c r="R73" i="453"/>
  <c r="R52" i="453"/>
  <c r="Q75" i="455"/>
  <c r="Q76" i="455" s="1"/>
  <c r="P77" i="455" s="1"/>
  <c r="Q75" i="446"/>
  <c r="R82" i="455"/>
  <c r="R73" i="455"/>
  <c r="R52" i="455"/>
  <c r="S11" i="446"/>
  <c r="S54" i="446" s="1"/>
  <c r="S9" i="446"/>
  <c r="S12" i="446"/>
  <c r="T10" i="446"/>
  <c r="S49" i="446"/>
  <c r="F34" i="444"/>
  <c r="E81" i="444"/>
  <c r="R82" i="452"/>
  <c r="R73" i="452"/>
  <c r="R52" i="452"/>
  <c r="N53" i="449"/>
  <c r="N55" i="449" s="1"/>
  <c r="H53" i="449"/>
  <c r="H55" i="449" s="1"/>
  <c r="F53" i="449"/>
  <c r="F55" i="449" s="1"/>
  <c r="J53" i="449"/>
  <c r="J55" i="449" s="1"/>
  <c r="D53" i="449"/>
  <c r="D55" i="449" s="1"/>
  <c r="B53" i="449"/>
  <c r="M53" i="449"/>
  <c r="M55" i="449" s="1"/>
  <c r="C53" i="449"/>
  <c r="C55" i="449" s="1"/>
  <c r="K53" i="449"/>
  <c r="K55" i="449" s="1"/>
  <c r="L53" i="449"/>
  <c r="L55" i="449" s="1"/>
  <c r="G53" i="449"/>
  <c r="G55" i="449" s="1"/>
  <c r="E53" i="449"/>
  <c r="E55" i="449" s="1"/>
  <c r="I53" i="449"/>
  <c r="I55" i="449" s="1"/>
  <c r="O53" i="449"/>
  <c r="O55" i="449" s="1"/>
  <c r="P53" i="449"/>
  <c r="P55" i="449" s="1"/>
  <c r="Q53" i="449"/>
  <c r="R82" i="451"/>
  <c r="R73" i="451"/>
  <c r="R52" i="451"/>
  <c r="P76" i="446"/>
  <c r="O77" i="446" s="1"/>
  <c r="O69" i="446" s="1"/>
  <c r="S12" i="452"/>
  <c r="S9" i="452"/>
  <c r="S11" i="452"/>
  <c r="S54" i="452" s="1"/>
  <c r="T10" i="452"/>
  <c r="S49" i="452"/>
  <c r="Q76" i="444"/>
  <c r="P77" i="444" s="1"/>
  <c r="R82" i="450"/>
  <c r="R52" i="450"/>
  <c r="R66" i="450" s="1"/>
  <c r="R73" i="450"/>
  <c r="B70" i="444"/>
  <c r="S11" i="448"/>
  <c r="S54" i="448" s="1"/>
  <c r="S9" i="448"/>
  <c r="S12" i="448"/>
  <c r="T10" i="448"/>
  <c r="S49" i="448"/>
  <c r="R75" i="447"/>
  <c r="R76" i="447"/>
  <c r="Q77" i="447" s="1"/>
  <c r="S75" i="445"/>
  <c r="R75" i="449"/>
  <c r="I22" i="28"/>
  <c r="J18" i="28"/>
  <c r="K18" i="28" s="1"/>
  <c r="J25" i="28"/>
  <c r="J19" i="28"/>
  <c r="K19" i="28" s="1"/>
  <c r="J22" i="28"/>
  <c r="K22" i="28" s="1"/>
  <c r="H11" i="28"/>
  <c r="H13" i="28"/>
  <c r="H12" i="28"/>
  <c r="J28" i="28"/>
  <c r="J21" i="28"/>
  <c r="K21" i="28" s="1"/>
  <c r="J26" i="28"/>
  <c r="J17" i="28"/>
  <c r="K17" i="28" s="1"/>
  <c r="J27" i="28"/>
  <c r="J24" i="28"/>
  <c r="L8" i="28"/>
  <c r="L20" i="28" s="1"/>
  <c r="M20" i="28" s="1"/>
  <c r="J20" i="28"/>
  <c r="K20" i="28" s="1"/>
  <c r="J23" i="28"/>
  <c r="F32" i="28"/>
  <c r="F15" i="28"/>
  <c r="H31" i="28"/>
  <c r="H30" i="28"/>
  <c r="H34" i="28"/>
  <c r="J18" i="1"/>
  <c r="V3" i="449" s="1"/>
  <c r="H19" i="1"/>
  <c r="V2" i="450" s="1"/>
  <c r="D20" i="15"/>
  <c r="C22" i="28"/>
  <c r="E22" i="28"/>
  <c r="G22" i="28"/>
  <c r="J11" i="28"/>
  <c r="J13" i="28"/>
  <c r="J14" i="28"/>
  <c r="J12" i="28"/>
  <c r="T7" i="453" l="1"/>
  <c r="C52" i="452"/>
  <c r="J52" i="452"/>
  <c r="Q52" i="452"/>
  <c r="Q7" i="454"/>
  <c r="E52" i="453"/>
  <c r="L52" i="453"/>
  <c r="R7" i="452"/>
  <c r="D52" i="451"/>
  <c r="K52" i="451"/>
  <c r="W7" i="451"/>
  <c r="Q55" i="449"/>
  <c r="P7" i="454"/>
  <c r="D52" i="453"/>
  <c r="K52" i="453"/>
  <c r="D52" i="455"/>
  <c r="K52" i="455"/>
  <c r="K66" i="450"/>
  <c r="J66" i="450"/>
  <c r="D66" i="450"/>
  <c r="C66" i="450"/>
  <c r="Q69" i="447"/>
  <c r="P69" i="452"/>
  <c r="P69" i="455"/>
  <c r="P69" i="451"/>
  <c r="M53" i="450"/>
  <c r="M55" i="450" s="1"/>
  <c r="F53" i="450"/>
  <c r="F55" i="450" s="1"/>
  <c r="L53" i="450"/>
  <c r="L55" i="450" s="1"/>
  <c r="N53" i="450"/>
  <c r="N55" i="450" s="1"/>
  <c r="K53" i="450"/>
  <c r="K55" i="450" s="1"/>
  <c r="G53" i="450"/>
  <c r="G55" i="450" s="1"/>
  <c r="B53" i="450"/>
  <c r="J53" i="450"/>
  <c r="J55" i="450" s="1"/>
  <c r="I53" i="450"/>
  <c r="I55" i="450" s="1"/>
  <c r="E53" i="450"/>
  <c r="E55" i="450" s="1"/>
  <c r="C53" i="450"/>
  <c r="C55" i="450" s="1"/>
  <c r="H53" i="450"/>
  <c r="H55" i="450" s="1"/>
  <c r="D53" i="450"/>
  <c r="D55" i="450" s="1"/>
  <c r="O53" i="450"/>
  <c r="O55" i="450" s="1"/>
  <c r="P53" i="450"/>
  <c r="P55" i="450" s="1"/>
  <c r="Q53" i="450"/>
  <c r="Q55" i="450" s="1"/>
  <c r="B79" i="444"/>
  <c r="C70" i="444"/>
  <c r="R75" i="450"/>
  <c r="T11" i="446"/>
  <c r="T54" i="446" s="1"/>
  <c r="T9" i="446"/>
  <c r="T12" i="446"/>
  <c r="U10" i="446"/>
  <c r="T49" i="446"/>
  <c r="U12" i="449"/>
  <c r="U9" i="449"/>
  <c r="U11" i="449"/>
  <c r="U54" i="449" s="1"/>
  <c r="V10" i="449"/>
  <c r="U49" i="449"/>
  <c r="S82" i="450"/>
  <c r="S53" i="450"/>
  <c r="S55" i="450" s="1"/>
  <c r="S52" i="450"/>
  <c r="S73" i="450"/>
  <c r="S73" i="451"/>
  <c r="S82" i="451"/>
  <c r="S52" i="451"/>
  <c r="U12" i="444"/>
  <c r="V10" i="444"/>
  <c r="U11" i="444"/>
  <c r="U54" i="444" s="1"/>
  <c r="U9" i="444"/>
  <c r="U49" i="444"/>
  <c r="U68" i="444"/>
  <c r="U56" i="444"/>
  <c r="W10" i="445"/>
  <c r="V9" i="445"/>
  <c r="V12" i="445"/>
  <c r="V11" i="445"/>
  <c r="V54" i="445" s="1"/>
  <c r="V49" i="445"/>
  <c r="R75" i="446"/>
  <c r="R76" i="446" s="1"/>
  <c r="Q77" i="446" s="1"/>
  <c r="S75" i="444"/>
  <c r="S76" i="444" s="1"/>
  <c r="R77" i="444" s="1"/>
  <c r="R69" i="444" s="1"/>
  <c r="S73" i="446"/>
  <c r="S53" i="446"/>
  <c r="S55" i="446" s="1"/>
  <c r="S52" i="446"/>
  <c r="S82" i="446"/>
  <c r="R76" i="453"/>
  <c r="R75" i="453"/>
  <c r="T55" i="445"/>
  <c r="T82" i="444"/>
  <c r="T53" i="444"/>
  <c r="T55" i="444" s="1"/>
  <c r="T52" i="444"/>
  <c r="T73" i="444"/>
  <c r="T11" i="453"/>
  <c r="T54" i="453" s="1"/>
  <c r="T9" i="453"/>
  <c r="T12" i="453"/>
  <c r="U10" i="453"/>
  <c r="T49" i="453"/>
  <c r="S75" i="447"/>
  <c r="S76" i="447" s="1"/>
  <c r="R77" i="447" s="1"/>
  <c r="U11" i="447"/>
  <c r="U54" i="447" s="1"/>
  <c r="V10" i="447"/>
  <c r="U9" i="447"/>
  <c r="U12" i="447"/>
  <c r="U49" i="447"/>
  <c r="T53" i="447"/>
  <c r="T73" i="447"/>
  <c r="T82" i="447"/>
  <c r="T52" i="447"/>
  <c r="S73" i="454"/>
  <c r="S82" i="454"/>
  <c r="S82" i="455"/>
  <c r="S73" i="455"/>
  <c r="S52" i="455"/>
  <c r="R75" i="448"/>
  <c r="R76" i="448" s="1"/>
  <c r="Q77" i="448" s="1"/>
  <c r="Q69" i="448" s="1"/>
  <c r="T11" i="448"/>
  <c r="T54" i="448" s="1"/>
  <c r="T9" i="448"/>
  <c r="T12" i="448"/>
  <c r="U10" i="448"/>
  <c r="T49" i="448"/>
  <c r="P69" i="444"/>
  <c r="R76" i="449"/>
  <c r="Q77" i="449" s="1"/>
  <c r="S82" i="448"/>
  <c r="S73" i="448"/>
  <c r="S53" i="448"/>
  <c r="S52" i="448"/>
  <c r="R53" i="450"/>
  <c r="R55" i="450" s="1"/>
  <c r="S52" i="452"/>
  <c r="S73" i="452"/>
  <c r="S82" i="452"/>
  <c r="F81" i="444"/>
  <c r="G34" i="444"/>
  <c r="T75" i="445"/>
  <c r="T76" i="445" s="1"/>
  <c r="S77" i="445" s="1"/>
  <c r="S69" i="445" s="1"/>
  <c r="S82" i="453"/>
  <c r="S73" i="453"/>
  <c r="S52" i="453"/>
  <c r="Q77" i="453"/>
  <c r="Q69" i="453" s="1"/>
  <c r="T12" i="454"/>
  <c r="T9" i="454"/>
  <c r="T11" i="454"/>
  <c r="T54" i="454" s="1"/>
  <c r="U10" i="454"/>
  <c r="T49" i="454"/>
  <c r="T12" i="455"/>
  <c r="U10" i="455"/>
  <c r="T11" i="455"/>
  <c r="T54" i="455" s="1"/>
  <c r="T9" i="455"/>
  <c r="T49" i="455"/>
  <c r="S75" i="449"/>
  <c r="S76" i="449" s="1"/>
  <c r="R77" i="449" s="1"/>
  <c r="R69" i="449" s="1"/>
  <c r="Q76" i="448"/>
  <c r="P77" i="448" s="1"/>
  <c r="R75" i="451"/>
  <c r="R76" i="451" s="1"/>
  <c r="Q77" i="451" s="1"/>
  <c r="S76" i="445"/>
  <c r="R77" i="445" s="1"/>
  <c r="T12" i="452"/>
  <c r="T9" i="452"/>
  <c r="T11" i="452"/>
  <c r="T54" i="452" s="1"/>
  <c r="U10" i="452"/>
  <c r="T49" i="452"/>
  <c r="B55" i="449"/>
  <c r="R75" i="452"/>
  <c r="R76" i="452" s="1"/>
  <c r="Q77" i="452" s="1"/>
  <c r="Q69" i="452" s="1"/>
  <c r="R75" i="455"/>
  <c r="R76" i="455" s="1"/>
  <c r="Q77" i="455" s="1"/>
  <c r="Q76" i="446"/>
  <c r="P77" i="446" s="1"/>
  <c r="P69" i="446" s="1"/>
  <c r="Q76" i="454"/>
  <c r="P77" i="454" s="1"/>
  <c r="T73" i="449"/>
  <c r="T82" i="449"/>
  <c r="T52" i="449"/>
  <c r="T66" i="449" s="1"/>
  <c r="T53" i="449"/>
  <c r="T55" i="449" s="1"/>
  <c r="T11" i="450"/>
  <c r="T54" i="450" s="1"/>
  <c r="T9" i="450"/>
  <c r="T12" i="450"/>
  <c r="U10" i="450"/>
  <c r="T49" i="450"/>
  <c r="T11" i="451"/>
  <c r="T54" i="451" s="1"/>
  <c r="T9" i="451"/>
  <c r="T12" i="451"/>
  <c r="U10" i="451"/>
  <c r="T49" i="451"/>
  <c r="U82" i="445"/>
  <c r="U53" i="445"/>
  <c r="U55" i="445" s="1"/>
  <c r="U52" i="445"/>
  <c r="U66" i="445" s="1"/>
  <c r="U73" i="445"/>
  <c r="Q76" i="453"/>
  <c r="P77" i="453" s="1"/>
  <c r="R55" i="446"/>
  <c r="S55" i="444"/>
  <c r="R75" i="454"/>
  <c r="R76" i="454" s="1"/>
  <c r="Q77" i="454" s="1"/>
  <c r="Q69" i="454" s="1"/>
  <c r="Q76" i="450"/>
  <c r="P77" i="450" s="1"/>
  <c r="K23" i="28"/>
  <c r="L9" i="28"/>
  <c r="L13" i="28" s="1"/>
  <c r="L27" i="28"/>
  <c r="L26" i="28"/>
  <c r="J30" i="28"/>
  <c r="N8" i="28"/>
  <c r="N22" i="28" s="1"/>
  <c r="O22" i="28" s="1"/>
  <c r="L18" i="28"/>
  <c r="M18" i="28" s="1"/>
  <c r="L17" i="28"/>
  <c r="M17" i="28" s="1"/>
  <c r="L22" i="28"/>
  <c r="M22" i="28" s="1"/>
  <c r="L28" i="28"/>
  <c r="L19" i="28"/>
  <c r="M19" i="28" s="1"/>
  <c r="L25" i="28"/>
  <c r="L23" i="28"/>
  <c r="M23" i="28" s="1"/>
  <c r="J34" i="28"/>
  <c r="L21" i="28"/>
  <c r="M21" i="28" s="1"/>
  <c r="L24" i="28"/>
  <c r="J31" i="28"/>
  <c r="J15" i="28" s="1"/>
  <c r="H15" i="28"/>
  <c r="H32" i="28"/>
  <c r="J19" i="1"/>
  <c r="V3" i="450" s="1"/>
  <c r="H20" i="1"/>
  <c r="V2" i="451" s="1"/>
  <c r="D21" i="15"/>
  <c r="C23" i="28"/>
  <c r="E23" i="28"/>
  <c r="G23" i="28"/>
  <c r="I23" i="28"/>
  <c r="N66" i="451" l="1"/>
  <c r="B66" i="451"/>
  <c r="H66" i="451"/>
  <c r="G66" i="451"/>
  <c r="O66" i="451"/>
  <c r="P7" i="455"/>
  <c r="H52" i="454"/>
  <c r="O52" i="454"/>
  <c r="Q7" i="455"/>
  <c r="I52" i="454"/>
  <c r="B52" i="454"/>
  <c r="P52" i="454"/>
  <c r="H52" i="453"/>
  <c r="T7" i="454"/>
  <c r="O52" i="453"/>
  <c r="H52" i="452"/>
  <c r="R7" i="453"/>
  <c r="O52" i="452"/>
  <c r="W7" i="452"/>
  <c r="Q69" i="451"/>
  <c r="R69" i="447"/>
  <c r="Q69" i="455"/>
  <c r="Q69" i="446"/>
  <c r="M53" i="451"/>
  <c r="M55" i="451" s="1"/>
  <c r="J53" i="451"/>
  <c r="J55" i="451" s="1"/>
  <c r="B53" i="451"/>
  <c r="D53" i="451"/>
  <c r="D55" i="451" s="1"/>
  <c r="F53" i="451"/>
  <c r="F55" i="451" s="1"/>
  <c r="C53" i="451"/>
  <c r="C55" i="451" s="1"/>
  <c r="E53" i="451"/>
  <c r="E55" i="451" s="1"/>
  <c r="K53" i="451"/>
  <c r="K55" i="451" s="1"/>
  <c r="I53" i="451"/>
  <c r="I55" i="451" s="1"/>
  <c r="H53" i="451"/>
  <c r="H55" i="451" s="1"/>
  <c r="N53" i="451"/>
  <c r="N55" i="451" s="1"/>
  <c r="L53" i="451"/>
  <c r="L55" i="451" s="1"/>
  <c r="G53" i="451"/>
  <c r="G55" i="451" s="1"/>
  <c r="O53" i="451"/>
  <c r="O55" i="451" s="1"/>
  <c r="P53" i="451"/>
  <c r="P55" i="451" s="1"/>
  <c r="Q53" i="451"/>
  <c r="Q55" i="451" s="1"/>
  <c r="R53" i="451"/>
  <c r="P69" i="450"/>
  <c r="T73" i="451"/>
  <c r="T52" i="451"/>
  <c r="T82" i="451"/>
  <c r="T53" i="451"/>
  <c r="T55" i="451" s="1"/>
  <c r="T75" i="449"/>
  <c r="T76" i="449" s="1"/>
  <c r="S77" i="449" s="1"/>
  <c r="R69" i="445"/>
  <c r="U11" i="454"/>
  <c r="U54" i="454" s="1"/>
  <c r="V10" i="454"/>
  <c r="U12" i="454"/>
  <c r="U9" i="454"/>
  <c r="U49" i="454"/>
  <c r="S75" i="453"/>
  <c r="S76" i="453" s="1"/>
  <c r="R77" i="453" s="1"/>
  <c r="R69" i="453" s="1"/>
  <c r="T73" i="448"/>
  <c r="T53" i="448"/>
  <c r="T55" i="448" s="1"/>
  <c r="T82" i="448"/>
  <c r="T52" i="448"/>
  <c r="S75" i="455"/>
  <c r="S76" i="455" s="1"/>
  <c r="R77" i="455" s="1"/>
  <c r="R69" i="455" s="1"/>
  <c r="S75" i="454"/>
  <c r="S76" i="454" s="1"/>
  <c r="R77" i="454" s="1"/>
  <c r="T75" i="447"/>
  <c r="T76" i="447" s="1"/>
  <c r="S77" i="447" s="1"/>
  <c r="S69" i="447" s="1"/>
  <c r="U11" i="453"/>
  <c r="U54" i="453" s="1"/>
  <c r="U9" i="453"/>
  <c r="U12" i="453"/>
  <c r="V10" i="453"/>
  <c r="U49" i="453"/>
  <c r="V82" i="445"/>
  <c r="V52" i="445"/>
  <c r="V73" i="445"/>
  <c r="V53" i="445"/>
  <c r="V55" i="445" s="1"/>
  <c r="P69" i="453"/>
  <c r="P69" i="454"/>
  <c r="T82" i="452"/>
  <c r="T73" i="452"/>
  <c r="T52" i="452"/>
  <c r="P69" i="448"/>
  <c r="S75" i="452"/>
  <c r="T55" i="447"/>
  <c r="T82" i="453"/>
  <c r="T73" i="453"/>
  <c r="T52" i="453"/>
  <c r="V12" i="444"/>
  <c r="V9" i="444"/>
  <c r="W10" i="444"/>
  <c r="V11" i="444"/>
  <c r="V54" i="444" s="1"/>
  <c r="V49" i="444"/>
  <c r="V56" i="444"/>
  <c r="V68" i="444"/>
  <c r="S53" i="451"/>
  <c r="S55" i="451" s="1"/>
  <c r="S75" i="450"/>
  <c r="S76" i="450" s="1"/>
  <c r="R77" i="450" s="1"/>
  <c r="R69" i="450" s="1"/>
  <c r="U82" i="449"/>
  <c r="U52" i="449"/>
  <c r="U53" i="449"/>
  <c r="U55" i="449" s="1"/>
  <c r="U73" i="449"/>
  <c r="C79" i="444"/>
  <c r="D70" i="444"/>
  <c r="B55" i="450"/>
  <c r="U12" i="450"/>
  <c r="V10" i="450"/>
  <c r="U11" i="450"/>
  <c r="U54" i="450" s="1"/>
  <c r="U9" i="450"/>
  <c r="U49" i="450"/>
  <c r="U11" i="452"/>
  <c r="U54" i="452" s="1"/>
  <c r="V10" i="452"/>
  <c r="U12" i="452"/>
  <c r="U9" i="452"/>
  <c r="U49" i="452"/>
  <c r="U11" i="455"/>
  <c r="U54" i="455" s="1"/>
  <c r="U12" i="455"/>
  <c r="V10" i="455"/>
  <c r="U9" i="455"/>
  <c r="U49" i="455"/>
  <c r="S55" i="448"/>
  <c r="Q69" i="449"/>
  <c r="V11" i="447"/>
  <c r="V54" i="447" s="1"/>
  <c r="W10" i="447"/>
  <c r="V12" i="447"/>
  <c r="V9" i="447"/>
  <c r="V49" i="447"/>
  <c r="S75" i="446"/>
  <c r="S76" i="446" s="1"/>
  <c r="R77" i="446" s="1"/>
  <c r="R69" i="446" s="1"/>
  <c r="X10" i="445"/>
  <c r="W9" i="445"/>
  <c r="W12" i="445"/>
  <c r="W11" i="445"/>
  <c r="W54" i="445" s="1"/>
  <c r="W49" i="445"/>
  <c r="U82" i="444"/>
  <c r="U53" i="444"/>
  <c r="U52" i="444"/>
  <c r="U73" i="444"/>
  <c r="V11" i="449"/>
  <c r="V54" i="449" s="1"/>
  <c r="W10" i="449"/>
  <c r="V12" i="449"/>
  <c r="V9" i="449"/>
  <c r="V49" i="449"/>
  <c r="U12" i="446"/>
  <c r="V10" i="446"/>
  <c r="U9" i="446"/>
  <c r="U11" i="446"/>
  <c r="U54" i="446" s="1"/>
  <c r="U49" i="446"/>
  <c r="U75" i="445"/>
  <c r="U76" i="445" s="1"/>
  <c r="T77" i="445" s="1"/>
  <c r="T69" i="445" s="1"/>
  <c r="U11" i="451"/>
  <c r="U54" i="451" s="1"/>
  <c r="U9" i="451"/>
  <c r="U12" i="451"/>
  <c r="V10" i="451"/>
  <c r="U49" i="451"/>
  <c r="T73" i="450"/>
  <c r="T82" i="450"/>
  <c r="T53" i="450"/>
  <c r="T55" i="450" s="1"/>
  <c r="T52" i="450"/>
  <c r="T82" i="455"/>
  <c r="T73" i="455"/>
  <c r="T52" i="455"/>
  <c r="T82" i="454"/>
  <c r="T73" i="454"/>
  <c r="T52" i="454"/>
  <c r="H34" i="444"/>
  <c r="G81" i="444"/>
  <c r="S75" i="448"/>
  <c r="S76" i="448" s="1"/>
  <c r="R77" i="448" s="1"/>
  <c r="U12" i="448"/>
  <c r="V10" i="448"/>
  <c r="U11" i="448"/>
  <c r="U54" i="448" s="1"/>
  <c r="U9" i="448"/>
  <c r="U49" i="448"/>
  <c r="U73" i="447"/>
  <c r="U82" i="447"/>
  <c r="U52" i="447"/>
  <c r="U53" i="447"/>
  <c r="U55" i="447" s="1"/>
  <c r="T75" i="444"/>
  <c r="T76" i="444" s="1"/>
  <c r="S77" i="444" s="1"/>
  <c r="S75" i="451"/>
  <c r="T73" i="446"/>
  <c r="T53" i="446"/>
  <c r="T52" i="446"/>
  <c r="T66" i="446" s="1"/>
  <c r="T82" i="446"/>
  <c r="R76" i="450"/>
  <c r="Q77" i="450" s="1"/>
  <c r="Q69" i="450" s="1"/>
  <c r="N18" i="28"/>
  <c r="O18" i="28" s="1"/>
  <c r="N17" i="28"/>
  <c r="O17" i="28" s="1"/>
  <c r="L12" i="28"/>
  <c r="N24" i="28"/>
  <c r="O24" i="28" s="1"/>
  <c r="L14" i="28"/>
  <c r="N23" i="28"/>
  <c r="O23" i="28" s="1"/>
  <c r="N25" i="28"/>
  <c r="P8" i="28"/>
  <c r="P9" i="28" s="1"/>
  <c r="N26" i="28"/>
  <c r="L11" i="28"/>
  <c r="N28" i="28"/>
  <c r="N27" i="28"/>
  <c r="N21" i="28"/>
  <c r="O21" i="28" s="1"/>
  <c r="N20" i="28"/>
  <c r="O20" i="28" s="1"/>
  <c r="N19" i="28"/>
  <c r="O19" i="28" s="1"/>
  <c r="N9" i="28"/>
  <c r="N11" i="28" s="1"/>
  <c r="J32" i="28"/>
  <c r="L31" i="28"/>
  <c r="L34" i="28"/>
  <c r="L30" i="28"/>
  <c r="M24" i="28"/>
  <c r="J20" i="1"/>
  <c r="V3" i="451" s="1"/>
  <c r="H21" i="1"/>
  <c r="V2" i="452" s="1"/>
  <c r="T53" i="452" s="1"/>
  <c r="T55" i="452" s="1"/>
  <c r="D22" i="15"/>
  <c r="C24" i="28"/>
  <c r="E24" i="28"/>
  <c r="G24" i="28"/>
  <c r="I24" i="28"/>
  <c r="K24" i="28"/>
  <c r="R55" i="451" l="1"/>
  <c r="F52" i="453"/>
  <c r="R7" i="454"/>
  <c r="M52" i="453"/>
  <c r="W7" i="453"/>
  <c r="S66" i="452"/>
  <c r="T7" i="455"/>
  <c r="E52" i="454"/>
  <c r="L52" i="454"/>
  <c r="S52" i="454"/>
  <c r="K66" i="452"/>
  <c r="D66" i="452"/>
  <c r="E66" i="452"/>
  <c r="L66" i="452"/>
  <c r="R66" i="452"/>
  <c r="G52" i="455"/>
  <c r="N52" i="455"/>
  <c r="M52" i="455"/>
  <c r="F52" i="455"/>
  <c r="S69" i="444"/>
  <c r="R69" i="448"/>
  <c r="S69" i="449"/>
  <c r="R69" i="454"/>
  <c r="U75" i="447"/>
  <c r="U76" i="447" s="1"/>
  <c r="T77" i="447" s="1"/>
  <c r="T69" i="447" s="1"/>
  <c r="V11" i="448"/>
  <c r="V54" i="448" s="1"/>
  <c r="V9" i="448"/>
  <c r="V12" i="448"/>
  <c r="W10" i="448"/>
  <c r="V49" i="448"/>
  <c r="T75" i="450"/>
  <c r="T76" i="450" s="1"/>
  <c r="S77" i="450" s="1"/>
  <c r="S69" i="450" s="1"/>
  <c r="V9" i="446"/>
  <c r="W10" i="446"/>
  <c r="V11" i="446"/>
  <c r="V54" i="446" s="1"/>
  <c r="V12" i="446"/>
  <c r="V49" i="446"/>
  <c r="W12" i="447"/>
  <c r="W9" i="447"/>
  <c r="X10" i="447"/>
  <c r="W11" i="447"/>
  <c r="W54" i="447" s="1"/>
  <c r="W49" i="447"/>
  <c r="D79" i="444"/>
  <c r="E70" i="444"/>
  <c r="V73" i="444"/>
  <c r="V53" i="444"/>
  <c r="V55" i="444" s="1"/>
  <c r="V52" i="444"/>
  <c r="V82" i="444"/>
  <c r="T76" i="453"/>
  <c r="T75" i="453"/>
  <c r="V11" i="454"/>
  <c r="V54" i="454" s="1"/>
  <c r="W10" i="454"/>
  <c r="V12" i="454"/>
  <c r="V9" i="454"/>
  <c r="V49" i="454"/>
  <c r="T75" i="451"/>
  <c r="U73" i="448"/>
  <c r="U53" i="448"/>
  <c r="U52" i="448"/>
  <c r="U82" i="448"/>
  <c r="I34" i="444"/>
  <c r="H81" i="444"/>
  <c r="U82" i="446"/>
  <c r="U73" i="446"/>
  <c r="U53" i="446"/>
  <c r="U55" i="446" s="1"/>
  <c r="U52" i="446"/>
  <c r="U66" i="446" s="1"/>
  <c r="V82" i="449"/>
  <c r="V52" i="449"/>
  <c r="V53" i="449"/>
  <c r="V55" i="449" s="1"/>
  <c r="V73" i="449"/>
  <c r="U75" i="444"/>
  <c r="V11" i="452"/>
  <c r="V54" i="452" s="1"/>
  <c r="W10" i="452"/>
  <c r="V12" i="452"/>
  <c r="V9" i="452"/>
  <c r="V49" i="452"/>
  <c r="V11" i="450"/>
  <c r="V54" i="450" s="1"/>
  <c r="V9" i="450"/>
  <c r="V12" i="450"/>
  <c r="W10" i="450"/>
  <c r="V49" i="450"/>
  <c r="W11" i="444"/>
  <c r="W54" i="444" s="1"/>
  <c r="W9" i="444"/>
  <c r="X10" i="444"/>
  <c r="W12" i="444"/>
  <c r="W49" i="444"/>
  <c r="W68" i="444"/>
  <c r="W56" i="444"/>
  <c r="S76" i="452"/>
  <c r="R77" i="452" s="1"/>
  <c r="R69" i="452" s="1"/>
  <c r="V12" i="453"/>
  <c r="W10" i="453"/>
  <c r="V11" i="453"/>
  <c r="V54" i="453" s="1"/>
  <c r="V9" i="453"/>
  <c r="V49" i="453"/>
  <c r="M53" i="452"/>
  <c r="M55" i="452" s="1"/>
  <c r="E53" i="452"/>
  <c r="E55" i="452" s="1"/>
  <c r="K53" i="452"/>
  <c r="K55" i="452" s="1"/>
  <c r="J53" i="452"/>
  <c r="J55" i="452" s="1"/>
  <c r="F53" i="452"/>
  <c r="F55" i="452" s="1"/>
  <c r="G53" i="452"/>
  <c r="G55" i="452" s="1"/>
  <c r="D53" i="452"/>
  <c r="D55" i="452" s="1"/>
  <c r="N53" i="452"/>
  <c r="N55" i="452" s="1"/>
  <c r="C53" i="452"/>
  <c r="C55" i="452" s="1"/>
  <c r="I53" i="452"/>
  <c r="I55" i="452" s="1"/>
  <c r="H53" i="452"/>
  <c r="H55" i="452" s="1"/>
  <c r="B53" i="452"/>
  <c r="L53" i="452"/>
  <c r="L55" i="452" s="1"/>
  <c r="O53" i="452"/>
  <c r="O55" i="452" s="1"/>
  <c r="P53" i="452"/>
  <c r="P55" i="452" s="1"/>
  <c r="Q53" i="452"/>
  <c r="Q55" i="452" s="1"/>
  <c r="R53" i="452"/>
  <c r="R55" i="452" s="1"/>
  <c r="S53" i="452"/>
  <c r="S55" i="452" s="1"/>
  <c r="T55" i="446"/>
  <c r="S76" i="451"/>
  <c r="R77" i="451" s="1"/>
  <c r="T75" i="446"/>
  <c r="T75" i="454"/>
  <c r="T76" i="454" s="1"/>
  <c r="S77" i="454" s="1"/>
  <c r="V12" i="451"/>
  <c r="W10" i="451"/>
  <c r="V11" i="451"/>
  <c r="V54" i="451" s="1"/>
  <c r="V9" i="451"/>
  <c r="V49" i="451"/>
  <c r="W11" i="449"/>
  <c r="W54" i="449" s="1"/>
  <c r="X10" i="449"/>
  <c r="W12" i="449"/>
  <c r="W9" i="449"/>
  <c r="W49" i="449"/>
  <c r="X12" i="445"/>
  <c r="X11" i="445"/>
  <c r="X54" i="445" s="1"/>
  <c r="Y10" i="445"/>
  <c r="X9" i="445"/>
  <c r="X49" i="445"/>
  <c r="V82" i="447"/>
  <c r="V52" i="447"/>
  <c r="V53" i="447"/>
  <c r="V55" i="447" s="1"/>
  <c r="V73" i="447"/>
  <c r="V12" i="455"/>
  <c r="W10" i="455"/>
  <c r="V11" i="455"/>
  <c r="V54" i="455" s="1"/>
  <c r="V9" i="455"/>
  <c r="V49" i="455"/>
  <c r="U73" i="452"/>
  <c r="U82" i="452"/>
  <c r="U52" i="452"/>
  <c r="U53" i="452"/>
  <c r="U55" i="452" s="1"/>
  <c r="U82" i="450"/>
  <c r="U73" i="450"/>
  <c r="U53" i="450"/>
  <c r="U55" i="450" s="1"/>
  <c r="U52" i="450"/>
  <c r="V75" i="445"/>
  <c r="U73" i="453"/>
  <c r="U82" i="453"/>
  <c r="U52" i="453"/>
  <c r="S77" i="453"/>
  <c r="S69" i="453" s="1"/>
  <c r="T75" i="455"/>
  <c r="T76" i="455" s="1"/>
  <c r="S77" i="455" s="1"/>
  <c r="S69" i="455" s="1"/>
  <c r="U82" i="451"/>
  <c r="U73" i="451"/>
  <c r="U53" i="451"/>
  <c r="U55" i="451" s="1"/>
  <c r="U52" i="451"/>
  <c r="U66" i="451" s="1"/>
  <c r="U55" i="444"/>
  <c r="W73" i="445"/>
  <c r="W82" i="445"/>
  <c r="W53" i="445"/>
  <c r="W55" i="445" s="1"/>
  <c r="W52" i="445"/>
  <c r="U82" i="455"/>
  <c r="U73" i="455"/>
  <c r="U52" i="455"/>
  <c r="U75" i="449"/>
  <c r="U76" i="449" s="1"/>
  <c r="T77" i="449" s="1"/>
  <c r="T69" i="449" s="1"/>
  <c r="T75" i="452"/>
  <c r="T76" i="452" s="1"/>
  <c r="S77" i="452" s="1"/>
  <c r="S69" i="452" s="1"/>
  <c r="T75" i="448"/>
  <c r="U73" i="454"/>
  <c r="U82" i="454"/>
  <c r="U52" i="454"/>
  <c r="B55" i="451"/>
  <c r="N12" i="28"/>
  <c r="N14" i="28"/>
  <c r="P22" i="28"/>
  <c r="Q22" i="28" s="1"/>
  <c r="P17" i="28"/>
  <c r="Q17" i="28" s="1"/>
  <c r="P21" i="28"/>
  <c r="Q21" i="28" s="1"/>
  <c r="P26" i="28"/>
  <c r="P23" i="28"/>
  <c r="Q23" i="28" s="1"/>
  <c r="P19" i="28"/>
  <c r="Q19" i="28" s="1"/>
  <c r="P24" i="28"/>
  <c r="Q24" i="28" s="1"/>
  <c r="P18" i="28"/>
  <c r="Q18" i="28" s="1"/>
  <c r="P25" i="28"/>
  <c r="Q25" i="28" s="1"/>
  <c r="P27" i="28"/>
  <c r="R8" i="28"/>
  <c r="R25" i="28" s="1"/>
  <c r="S25" i="28" s="1"/>
  <c r="P20" i="28"/>
  <c r="Q20" i="28" s="1"/>
  <c r="P28" i="28"/>
  <c r="N30" i="28"/>
  <c r="N31" i="28"/>
  <c r="N13" i="28"/>
  <c r="N34" i="28"/>
  <c r="L32" i="28"/>
  <c r="L15" i="28"/>
  <c r="J21" i="1"/>
  <c r="V3" i="452" s="1"/>
  <c r="D23" i="15"/>
  <c r="H22" i="1"/>
  <c r="V2" i="453" s="1"/>
  <c r="U53" i="453" s="1"/>
  <c r="U55" i="453" s="1"/>
  <c r="C25" i="28"/>
  <c r="E25" i="28"/>
  <c r="G25" i="28"/>
  <c r="I25" i="28"/>
  <c r="K25" i="28"/>
  <c r="M25" i="28"/>
  <c r="O25" i="28"/>
  <c r="P14" i="28"/>
  <c r="P13" i="28"/>
  <c r="P11" i="28"/>
  <c r="P12" i="28"/>
  <c r="R7" i="455" l="1"/>
  <c r="C52" i="454"/>
  <c r="J52" i="454"/>
  <c r="Q52" i="454"/>
  <c r="W7" i="454"/>
  <c r="U66" i="454"/>
  <c r="C52" i="455"/>
  <c r="J52" i="455"/>
  <c r="Q52" i="455"/>
  <c r="C66" i="453"/>
  <c r="B66" i="453"/>
  <c r="I66" i="453"/>
  <c r="J66" i="453"/>
  <c r="P66" i="453"/>
  <c r="Q66" i="453"/>
  <c r="S69" i="454"/>
  <c r="U75" i="454"/>
  <c r="U76" i="454" s="1"/>
  <c r="T77" i="454" s="1"/>
  <c r="T69" i="454" s="1"/>
  <c r="U75" i="450"/>
  <c r="U76" i="450" s="1"/>
  <c r="T77" i="450" s="1"/>
  <c r="T69" i="450" s="1"/>
  <c r="W11" i="455"/>
  <c r="W54" i="455" s="1"/>
  <c r="W9" i="455"/>
  <c r="W12" i="455"/>
  <c r="X10" i="455"/>
  <c r="W49" i="455"/>
  <c r="W11" i="451"/>
  <c r="W54" i="451" s="1"/>
  <c r="W9" i="451"/>
  <c r="W12" i="451"/>
  <c r="X10" i="451"/>
  <c r="W49" i="451"/>
  <c r="R69" i="451"/>
  <c r="V82" i="453"/>
  <c r="V73" i="453"/>
  <c r="V52" i="453"/>
  <c r="V53" i="453"/>
  <c r="V55" i="453" s="1"/>
  <c r="V75" i="449"/>
  <c r="V76" i="449" s="1"/>
  <c r="U77" i="449" s="1"/>
  <c r="U69" i="449" s="1"/>
  <c r="W12" i="454"/>
  <c r="W9" i="454"/>
  <c r="W11" i="454"/>
  <c r="W54" i="454" s="1"/>
  <c r="X10" i="454"/>
  <c r="W49" i="454"/>
  <c r="E79" i="444"/>
  <c r="F70" i="444"/>
  <c r="V82" i="446"/>
  <c r="V73" i="446"/>
  <c r="V53" i="446"/>
  <c r="V52" i="446"/>
  <c r="V76" i="445"/>
  <c r="U77" i="445" s="1"/>
  <c r="U69" i="445" s="1"/>
  <c r="V82" i="455"/>
  <c r="V73" i="455"/>
  <c r="V52" i="455"/>
  <c r="V75" i="447"/>
  <c r="V76" i="447" s="1"/>
  <c r="U77" i="447" s="1"/>
  <c r="U69" i="447" s="1"/>
  <c r="X73" i="445"/>
  <c r="X82" i="445"/>
  <c r="X53" i="445"/>
  <c r="X55" i="445" s="1"/>
  <c r="X52" i="445"/>
  <c r="V82" i="451"/>
  <c r="V53" i="451"/>
  <c r="V73" i="451"/>
  <c r="V52" i="451"/>
  <c r="V66" i="451" s="1"/>
  <c r="W49" i="450"/>
  <c r="W11" i="450"/>
  <c r="W54" i="450" s="1"/>
  <c r="W9" i="450"/>
  <c r="W12" i="450"/>
  <c r="X10" i="450"/>
  <c r="V82" i="452"/>
  <c r="V53" i="452"/>
  <c r="V55" i="452" s="1"/>
  <c r="V73" i="452"/>
  <c r="V52" i="452"/>
  <c r="J34" i="444"/>
  <c r="I81" i="444"/>
  <c r="U55" i="448"/>
  <c r="W52" i="447"/>
  <c r="W53" i="447"/>
  <c r="W73" i="447"/>
  <c r="W82" i="447"/>
  <c r="U75" i="455"/>
  <c r="U76" i="455" s="1"/>
  <c r="T77" i="455" s="1"/>
  <c r="T69" i="455" s="1"/>
  <c r="W75" i="445"/>
  <c r="W76" i="445" s="1"/>
  <c r="V77" i="445" s="1"/>
  <c r="V69" i="445" s="1"/>
  <c r="U75" i="451"/>
  <c r="U76" i="451" s="1"/>
  <c r="T77" i="451" s="1"/>
  <c r="T69" i="451" s="1"/>
  <c r="U75" i="453"/>
  <c r="U76" i="453" s="1"/>
  <c r="T77" i="453" s="1"/>
  <c r="T69" i="453" s="1"/>
  <c r="U75" i="452"/>
  <c r="U76" i="452" s="1"/>
  <c r="T77" i="452" s="1"/>
  <c r="T69" i="452" s="1"/>
  <c r="W53" i="449"/>
  <c r="W55" i="449" s="1"/>
  <c r="W73" i="449"/>
  <c r="W82" i="449"/>
  <c r="W52" i="449"/>
  <c r="T76" i="446"/>
  <c r="S77" i="446" s="1"/>
  <c r="S69" i="446" s="1"/>
  <c r="W73" i="444"/>
  <c r="W53" i="444"/>
  <c r="W55" i="444" s="1"/>
  <c r="W52" i="444"/>
  <c r="W66" i="444" s="1"/>
  <c r="W82" i="444"/>
  <c r="V82" i="450"/>
  <c r="V53" i="450"/>
  <c r="V52" i="450"/>
  <c r="V73" i="450"/>
  <c r="W12" i="452"/>
  <c r="W9" i="452"/>
  <c r="W11" i="452"/>
  <c r="W54" i="452" s="1"/>
  <c r="X10" i="452"/>
  <c r="W49" i="452"/>
  <c r="U76" i="444"/>
  <c r="T77" i="444" s="1"/>
  <c r="U75" i="448"/>
  <c r="U76" i="448" s="1"/>
  <c r="T77" i="448" s="1"/>
  <c r="T69" i="448" s="1"/>
  <c r="T76" i="451"/>
  <c r="S77" i="451" s="1"/>
  <c r="S69" i="451" s="1"/>
  <c r="X12" i="447"/>
  <c r="X9" i="447"/>
  <c r="X11" i="447"/>
  <c r="X54" i="447" s="1"/>
  <c r="Y10" i="447"/>
  <c r="X49" i="447"/>
  <c r="W11" i="446"/>
  <c r="W54" i="446" s="1"/>
  <c r="W9" i="446"/>
  <c r="X10" i="446"/>
  <c r="W12" i="446"/>
  <c r="W49" i="446"/>
  <c r="W11" i="448"/>
  <c r="W54" i="448" s="1"/>
  <c r="W9" i="448"/>
  <c r="W12" i="448"/>
  <c r="X10" i="448"/>
  <c r="W49" i="448"/>
  <c r="K53" i="453"/>
  <c r="K55" i="453" s="1"/>
  <c r="J53" i="453"/>
  <c r="J55" i="453" s="1"/>
  <c r="M53" i="453"/>
  <c r="M55" i="453" s="1"/>
  <c r="H53" i="453"/>
  <c r="H55" i="453" s="1"/>
  <c r="L53" i="453"/>
  <c r="L55" i="453" s="1"/>
  <c r="F53" i="453"/>
  <c r="F55" i="453" s="1"/>
  <c r="G53" i="453"/>
  <c r="G55" i="453" s="1"/>
  <c r="D53" i="453"/>
  <c r="D55" i="453" s="1"/>
  <c r="I53" i="453"/>
  <c r="I55" i="453" s="1"/>
  <c r="N53" i="453"/>
  <c r="N55" i="453" s="1"/>
  <c r="E53" i="453"/>
  <c r="E55" i="453" s="1"/>
  <c r="C53" i="453"/>
  <c r="C55" i="453" s="1"/>
  <c r="B53" i="453"/>
  <c r="O53" i="453"/>
  <c r="P53" i="453"/>
  <c r="P55" i="453" s="1"/>
  <c r="Q53" i="453"/>
  <c r="Q55" i="453" s="1"/>
  <c r="R53" i="453"/>
  <c r="R55" i="453" s="1"/>
  <c r="S53" i="453"/>
  <c r="S55" i="453" s="1"/>
  <c r="T53" i="453"/>
  <c r="T76" i="448"/>
  <c r="S77" i="448" s="1"/>
  <c r="Y12" i="445"/>
  <c r="Y11" i="445"/>
  <c r="Y54" i="445" s="1"/>
  <c r="Z10" i="445"/>
  <c r="Y9" i="445"/>
  <c r="Y49" i="445"/>
  <c r="X12" i="449"/>
  <c r="X9" i="449"/>
  <c r="X11" i="449"/>
  <c r="X54" i="449" s="1"/>
  <c r="Y10" i="449"/>
  <c r="X49" i="449"/>
  <c r="B55" i="452"/>
  <c r="W11" i="453"/>
  <c r="W54" i="453" s="1"/>
  <c r="W9" i="453"/>
  <c r="W12" i="453"/>
  <c r="X10" i="453"/>
  <c r="W49" i="453"/>
  <c r="X11" i="444"/>
  <c r="X54" i="444" s="1"/>
  <c r="X9" i="444"/>
  <c r="X12" i="444"/>
  <c r="Y10" i="444"/>
  <c r="X49" i="444"/>
  <c r="X56" i="444"/>
  <c r="X68" i="444"/>
  <c r="U75" i="446"/>
  <c r="V73" i="454"/>
  <c r="V82" i="454"/>
  <c r="V52" i="454"/>
  <c r="V75" i="444"/>
  <c r="V82" i="448"/>
  <c r="V73" i="448"/>
  <c r="V53" i="448"/>
  <c r="V55" i="448" s="1"/>
  <c r="V52" i="448"/>
  <c r="V66" i="448" s="1"/>
  <c r="Q26" i="28"/>
  <c r="R27" i="28"/>
  <c r="R26" i="28"/>
  <c r="S26" i="28" s="1"/>
  <c r="R21" i="28"/>
  <c r="S21" i="28" s="1"/>
  <c r="R17" i="28"/>
  <c r="S17" i="28" s="1"/>
  <c r="R18" i="28"/>
  <c r="S18" i="28" s="1"/>
  <c r="R20" i="28"/>
  <c r="S20" i="28" s="1"/>
  <c r="R28" i="28"/>
  <c r="R19" i="28"/>
  <c r="S19" i="28" s="1"/>
  <c r="T8" i="28"/>
  <c r="T24" i="28" s="1"/>
  <c r="U24" i="28" s="1"/>
  <c r="R22" i="28"/>
  <c r="S22" i="28" s="1"/>
  <c r="R9" i="28"/>
  <c r="R13" i="28" s="1"/>
  <c r="R24" i="28"/>
  <c r="S24" i="28" s="1"/>
  <c r="R23" i="28"/>
  <c r="S23" i="28" s="1"/>
  <c r="P31" i="28"/>
  <c r="N32" i="28"/>
  <c r="P30" i="28"/>
  <c r="P34" i="28"/>
  <c r="N15" i="28"/>
  <c r="J22" i="1"/>
  <c r="V3" i="453" s="1"/>
  <c r="H23" i="1"/>
  <c r="V2" i="454" s="1"/>
  <c r="D24" i="15"/>
  <c r="C26" i="28"/>
  <c r="E26" i="28"/>
  <c r="G26" i="28"/>
  <c r="I26" i="28"/>
  <c r="K26" i="28"/>
  <c r="M26" i="28"/>
  <c r="O26" i="28"/>
  <c r="T55" i="453" l="1"/>
  <c r="O55" i="453"/>
  <c r="F66" i="454"/>
  <c r="M66" i="454"/>
  <c r="G66" i="454"/>
  <c r="N66" i="454"/>
  <c r="T66" i="454"/>
  <c r="H52" i="455"/>
  <c r="O52" i="455"/>
  <c r="W7" i="455"/>
  <c r="V75" i="454"/>
  <c r="V76" i="454" s="1"/>
  <c r="U77" i="454" s="1"/>
  <c r="U69" i="454" s="1"/>
  <c r="X82" i="444"/>
  <c r="X73" i="444"/>
  <c r="X53" i="444"/>
  <c r="X55" i="444" s="1"/>
  <c r="X52" i="444"/>
  <c r="X66" i="444" s="1"/>
  <c r="W82" i="453"/>
  <c r="W73" i="453"/>
  <c r="W53" i="453"/>
  <c r="W55" i="453" s="1"/>
  <c r="W52" i="453"/>
  <c r="W66" i="453" s="1"/>
  <c r="Y12" i="449"/>
  <c r="Y9" i="449"/>
  <c r="Y11" i="449"/>
  <c r="Y54" i="449" s="1"/>
  <c r="Z10" i="449"/>
  <c r="Y49" i="449"/>
  <c r="AA10" i="445"/>
  <c r="Z9" i="445"/>
  <c r="Z12" i="445"/>
  <c r="Z11" i="445"/>
  <c r="Z54" i="445" s="1"/>
  <c r="Z49" i="445"/>
  <c r="W82" i="448"/>
  <c r="W73" i="448"/>
  <c r="W53" i="448"/>
  <c r="W55" i="448" s="1"/>
  <c r="W52" i="448"/>
  <c r="W66" i="448" s="1"/>
  <c r="X11" i="446"/>
  <c r="X54" i="446" s="1"/>
  <c r="X9" i="446"/>
  <c r="X12" i="446"/>
  <c r="Y10" i="446"/>
  <c r="X49" i="446"/>
  <c r="V55" i="450"/>
  <c r="K34" i="444"/>
  <c r="J81" i="444"/>
  <c r="V75" i="455"/>
  <c r="X12" i="455"/>
  <c r="Y10" i="455"/>
  <c r="X11" i="455"/>
  <c r="X54" i="455" s="1"/>
  <c r="X9" i="455"/>
  <c r="X49" i="455"/>
  <c r="M53" i="454"/>
  <c r="M55" i="454" s="1"/>
  <c r="C53" i="454"/>
  <c r="C55" i="454" s="1"/>
  <c r="H53" i="454"/>
  <c r="H55" i="454" s="1"/>
  <c r="B53" i="454"/>
  <c r="N53" i="454"/>
  <c r="N55" i="454" s="1"/>
  <c r="L53" i="454"/>
  <c r="L55" i="454" s="1"/>
  <c r="I53" i="454"/>
  <c r="I55" i="454" s="1"/>
  <c r="E53" i="454"/>
  <c r="E55" i="454" s="1"/>
  <c r="D53" i="454"/>
  <c r="D55" i="454" s="1"/>
  <c r="K53" i="454"/>
  <c r="K55" i="454" s="1"/>
  <c r="J53" i="454"/>
  <c r="J55" i="454" s="1"/>
  <c r="F53" i="454"/>
  <c r="F55" i="454" s="1"/>
  <c r="G53" i="454"/>
  <c r="G55" i="454" s="1"/>
  <c r="O53" i="454"/>
  <c r="O55" i="454" s="1"/>
  <c r="P53" i="454"/>
  <c r="P55" i="454" s="1"/>
  <c r="Q53" i="454"/>
  <c r="Q55" i="454" s="1"/>
  <c r="R53" i="454"/>
  <c r="R55" i="454" s="1"/>
  <c r="S53" i="454"/>
  <c r="S55" i="454" s="1"/>
  <c r="T53" i="454"/>
  <c r="T55" i="454" s="1"/>
  <c r="U53" i="454"/>
  <c r="U55" i="454" s="1"/>
  <c r="V75" i="448"/>
  <c r="V76" i="448" s="1"/>
  <c r="U77" i="448" s="1"/>
  <c r="U69" i="448" s="1"/>
  <c r="V53" i="454"/>
  <c r="V55" i="454" s="1"/>
  <c r="Y11" i="447"/>
  <c r="Y54" i="447" s="1"/>
  <c r="Z10" i="447"/>
  <c r="Y9" i="447"/>
  <c r="Y12" i="447"/>
  <c r="Y49" i="447"/>
  <c r="X53" i="447"/>
  <c r="X55" i="447" s="1"/>
  <c r="X73" i="447"/>
  <c r="X82" i="447"/>
  <c r="X52" i="447"/>
  <c r="X66" i="447" s="1"/>
  <c r="T69" i="444"/>
  <c r="W75" i="449"/>
  <c r="W76" i="449" s="1"/>
  <c r="V77" i="449" s="1"/>
  <c r="V69" i="449" s="1"/>
  <c r="V75" i="452"/>
  <c r="V76" i="452" s="1"/>
  <c r="U77" i="452" s="1"/>
  <c r="U69" i="452" s="1"/>
  <c r="X11" i="450"/>
  <c r="X54" i="450" s="1"/>
  <c r="X9" i="450"/>
  <c r="X12" i="450"/>
  <c r="Y10" i="450"/>
  <c r="X49" i="450"/>
  <c r="X75" i="445"/>
  <c r="X76" i="445" s="1"/>
  <c r="W77" i="445" s="1"/>
  <c r="W69" i="445" s="1"/>
  <c r="F79" i="444"/>
  <c r="G70" i="444"/>
  <c r="X11" i="451"/>
  <c r="X54" i="451" s="1"/>
  <c r="X9" i="451"/>
  <c r="X12" i="451"/>
  <c r="Y10" i="451"/>
  <c r="X49" i="451"/>
  <c r="W82" i="455"/>
  <c r="W73" i="455"/>
  <c r="W52" i="455"/>
  <c r="B55" i="453"/>
  <c r="W73" i="446"/>
  <c r="W53" i="446"/>
  <c r="W55" i="446" s="1"/>
  <c r="W52" i="446"/>
  <c r="W82" i="446"/>
  <c r="V75" i="450"/>
  <c r="W75" i="444"/>
  <c r="W76" i="444" s="1"/>
  <c r="V77" i="444" s="1"/>
  <c r="V69" i="444" s="1"/>
  <c r="W75" i="447"/>
  <c r="W76" i="447" s="1"/>
  <c r="V77" i="447" s="1"/>
  <c r="V69" i="447" s="1"/>
  <c r="W53" i="450"/>
  <c r="W55" i="450" s="1"/>
  <c r="W52" i="450"/>
  <c r="W73" i="450"/>
  <c r="W82" i="450"/>
  <c r="V75" i="451"/>
  <c r="V76" i="451" s="1"/>
  <c r="U77" i="451" s="1"/>
  <c r="U69" i="451" s="1"/>
  <c r="V55" i="446"/>
  <c r="W73" i="454"/>
  <c r="W82" i="454"/>
  <c r="W52" i="454"/>
  <c r="W53" i="454"/>
  <c r="W55" i="454" s="1"/>
  <c r="V75" i="453"/>
  <c r="V76" i="453" s="1"/>
  <c r="U77" i="453" s="1"/>
  <c r="U69" i="453" s="1"/>
  <c r="W73" i="451"/>
  <c r="W82" i="451"/>
  <c r="W53" i="451"/>
  <c r="W55" i="451" s="1"/>
  <c r="W52" i="451"/>
  <c r="V76" i="444"/>
  <c r="U77" i="444" s="1"/>
  <c r="U69" i="444" s="1"/>
  <c r="U76" i="446"/>
  <c r="T77" i="446" s="1"/>
  <c r="T69" i="446" s="1"/>
  <c r="Y12" i="444"/>
  <c r="Z10" i="444"/>
  <c r="Y49" i="444"/>
  <c r="Y9" i="444"/>
  <c r="Y11" i="444"/>
  <c r="Y54" i="444" s="1"/>
  <c r="Y56" i="444"/>
  <c r="Y68" i="444"/>
  <c r="X11" i="453"/>
  <c r="X54" i="453" s="1"/>
  <c r="X9" i="453"/>
  <c r="X12" i="453"/>
  <c r="Y10" i="453"/>
  <c r="X49" i="453"/>
  <c r="X73" i="449"/>
  <c r="X82" i="449"/>
  <c r="X53" i="449"/>
  <c r="X55" i="449" s="1"/>
  <c r="X52" i="449"/>
  <c r="Y82" i="445"/>
  <c r="Y53" i="445"/>
  <c r="Y55" i="445" s="1"/>
  <c r="Y52" i="445"/>
  <c r="Y73" i="445"/>
  <c r="S69" i="448"/>
  <c r="X11" i="448"/>
  <c r="X54" i="448" s="1"/>
  <c r="X9" i="448"/>
  <c r="X12" i="448"/>
  <c r="Y10" i="448"/>
  <c r="X49" i="448"/>
  <c r="X12" i="452"/>
  <c r="X9" i="452"/>
  <c r="X11" i="452"/>
  <c r="X54" i="452" s="1"/>
  <c r="Y10" i="452"/>
  <c r="X49" i="452"/>
  <c r="W52" i="452"/>
  <c r="W73" i="452"/>
  <c r="W53" i="452"/>
  <c r="W82" i="452"/>
  <c r="W55" i="447"/>
  <c r="V55" i="451"/>
  <c r="V75" i="446"/>
  <c r="V76" i="446" s="1"/>
  <c r="U77" i="446" s="1"/>
  <c r="U69" i="446" s="1"/>
  <c r="X12" i="454"/>
  <c r="X9" i="454"/>
  <c r="X11" i="454"/>
  <c r="X54" i="454" s="1"/>
  <c r="Y10" i="454"/>
  <c r="X49" i="454"/>
  <c r="T20" i="28"/>
  <c r="U20" i="28" s="1"/>
  <c r="T21" i="28"/>
  <c r="U21" i="28" s="1"/>
  <c r="V8" i="28"/>
  <c r="V9" i="28" s="1"/>
  <c r="T19" i="28"/>
  <c r="U19" i="28" s="1"/>
  <c r="T22" i="28"/>
  <c r="U22" i="28" s="1"/>
  <c r="T28" i="28"/>
  <c r="T17" i="28"/>
  <c r="U17" i="28" s="1"/>
  <c r="T23" i="28"/>
  <c r="U23" i="28" s="1"/>
  <c r="T26" i="28"/>
  <c r="U26" i="28" s="1"/>
  <c r="T25" i="28"/>
  <c r="U25" i="28" s="1"/>
  <c r="T18" i="28"/>
  <c r="U18" i="28" s="1"/>
  <c r="T9" i="28"/>
  <c r="T11" i="28" s="1"/>
  <c r="T27" i="28"/>
  <c r="U27" i="28" s="1"/>
  <c r="P15" i="28"/>
  <c r="R12" i="28"/>
  <c r="P32" i="28"/>
  <c r="R30" i="28"/>
  <c r="R34" i="28"/>
  <c r="R11" i="28"/>
  <c r="R31" i="28"/>
  <c r="R14" i="28"/>
  <c r="J23" i="1"/>
  <c r="V3" i="454" s="1"/>
  <c r="D25" i="15"/>
  <c r="H24" i="1"/>
  <c r="V2" i="455" s="1"/>
  <c r="C27" i="28"/>
  <c r="E27" i="28"/>
  <c r="G27" i="28"/>
  <c r="I27" i="28"/>
  <c r="K27" i="28"/>
  <c r="M27" i="28"/>
  <c r="O27" i="28"/>
  <c r="Q27" i="28"/>
  <c r="S27" i="28"/>
  <c r="E66" i="455" l="1"/>
  <c r="D66" i="455"/>
  <c r="L66" i="455"/>
  <c r="K66" i="455"/>
  <c r="R66" i="455"/>
  <c r="S66" i="455"/>
  <c r="H53" i="455"/>
  <c r="H55" i="455" s="1"/>
  <c r="D53" i="455"/>
  <c r="D55" i="455" s="1"/>
  <c r="J53" i="455"/>
  <c r="J55" i="455" s="1"/>
  <c r="I53" i="455"/>
  <c r="I55" i="455" s="1"/>
  <c r="G53" i="455"/>
  <c r="G55" i="455" s="1"/>
  <c r="L53" i="455"/>
  <c r="L55" i="455" s="1"/>
  <c r="M53" i="455"/>
  <c r="M55" i="455" s="1"/>
  <c r="C53" i="455"/>
  <c r="C55" i="455" s="1"/>
  <c r="N53" i="455"/>
  <c r="N55" i="455" s="1"/>
  <c r="K53" i="455"/>
  <c r="K55" i="455" s="1"/>
  <c r="E53" i="455"/>
  <c r="E55" i="455" s="1"/>
  <c r="B53" i="455"/>
  <c r="F53" i="455"/>
  <c r="F55" i="455" s="1"/>
  <c r="O53" i="455"/>
  <c r="O55" i="455" s="1"/>
  <c r="P53" i="455"/>
  <c r="P55" i="455" s="1"/>
  <c r="Q53" i="455"/>
  <c r="R53" i="455"/>
  <c r="R55" i="455" s="1"/>
  <c r="S53" i="455"/>
  <c r="S55" i="455" s="1"/>
  <c r="T53" i="455"/>
  <c r="T55" i="455" s="1"/>
  <c r="U53" i="455"/>
  <c r="U55" i="455" s="1"/>
  <c r="V53" i="455"/>
  <c r="V55" i="455" s="1"/>
  <c r="Y12" i="448"/>
  <c r="Z10" i="448"/>
  <c r="Y9" i="448"/>
  <c r="Y11" i="448"/>
  <c r="Y54" i="448" s="1"/>
  <c r="Y49" i="448"/>
  <c r="W75" i="451"/>
  <c r="Y11" i="451"/>
  <c r="Y54" i="451" s="1"/>
  <c r="Y9" i="451"/>
  <c r="Y12" i="451"/>
  <c r="Z10" i="451"/>
  <c r="Y49" i="451"/>
  <c r="Y11" i="454"/>
  <c r="Y54" i="454" s="1"/>
  <c r="Z10" i="454"/>
  <c r="Y12" i="454"/>
  <c r="Y9" i="454"/>
  <c r="Y49" i="454"/>
  <c r="W55" i="452"/>
  <c r="Y11" i="452"/>
  <c r="Y54" i="452" s="1"/>
  <c r="Z10" i="452"/>
  <c r="Y12" i="452"/>
  <c r="Y9" i="452"/>
  <c r="Y49" i="452"/>
  <c r="X73" i="448"/>
  <c r="X53" i="448"/>
  <c r="X82" i="448"/>
  <c r="X52" i="448"/>
  <c r="Y82" i="444"/>
  <c r="Y73" i="444"/>
  <c r="Y53" i="444"/>
  <c r="Y55" i="444" s="1"/>
  <c r="Y52" i="444"/>
  <c r="W75" i="455"/>
  <c r="W76" i="455" s="1"/>
  <c r="V77" i="455" s="1"/>
  <c r="V69" i="455" s="1"/>
  <c r="X53" i="451"/>
  <c r="X82" i="451"/>
  <c r="X52" i="451"/>
  <c r="X73" i="451"/>
  <c r="G79" i="444"/>
  <c r="H70" i="444"/>
  <c r="Y12" i="450"/>
  <c r="Z10" i="450"/>
  <c r="Y11" i="450"/>
  <c r="Y54" i="450" s="1"/>
  <c r="Y9" i="450"/>
  <c r="Y49" i="450"/>
  <c r="Y73" i="447"/>
  <c r="Y82" i="447"/>
  <c r="Y52" i="447"/>
  <c r="Y66" i="447" s="1"/>
  <c r="Y53" i="447"/>
  <c r="Y55" i="447" s="1"/>
  <c r="V76" i="455"/>
  <c r="U77" i="455" s="1"/>
  <c r="U69" i="455" s="1"/>
  <c r="X73" i="446"/>
  <c r="X53" i="446"/>
  <c r="X52" i="446"/>
  <c r="X82" i="446"/>
  <c r="Y82" i="449"/>
  <c r="Y73" i="449"/>
  <c r="Y52" i="449"/>
  <c r="Y53" i="449"/>
  <c r="Y55" i="449" s="1"/>
  <c r="X82" i="454"/>
  <c r="X73" i="454"/>
  <c r="X53" i="454"/>
  <c r="X55" i="454" s="1"/>
  <c r="X52" i="454"/>
  <c r="AA10" i="444"/>
  <c r="Z11" i="444"/>
  <c r="Z54" i="444" s="1"/>
  <c r="Z12" i="444"/>
  <c r="Z9" i="444"/>
  <c r="Z49" i="444"/>
  <c r="Z68" i="444"/>
  <c r="Z56" i="444"/>
  <c r="W53" i="455"/>
  <c r="W55" i="455" s="1"/>
  <c r="K81" i="444"/>
  <c r="L34" i="444"/>
  <c r="Y12" i="446"/>
  <c r="Z10" i="446"/>
  <c r="Y11" i="446"/>
  <c r="Y54" i="446" s="1"/>
  <c r="Y9" i="446"/>
  <c r="Y49" i="446"/>
  <c r="W75" i="448"/>
  <c r="Z82" i="445"/>
  <c r="Z52" i="445"/>
  <c r="Z73" i="445"/>
  <c r="Z53" i="445"/>
  <c r="Z55" i="445" s="1"/>
  <c r="W75" i="452"/>
  <c r="W76" i="452" s="1"/>
  <c r="V77" i="452" s="1"/>
  <c r="V69" i="452" s="1"/>
  <c r="Y75" i="445"/>
  <c r="Y76" i="445" s="1"/>
  <c r="X77" i="445" s="1"/>
  <c r="X69" i="445" s="1"/>
  <c r="X75" i="449"/>
  <c r="X76" i="449" s="1"/>
  <c r="W77" i="449" s="1"/>
  <c r="W69" i="449" s="1"/>
  <c r="Y11" i="453"/>
  <c r="Y54" i="453" s="1"/>
  <c r="Y9" i="453"/>
  <c r="Y12" i="453"/>
  <c r="Z10" i="453"/>
  <c r="Y49" i="453"/>
  <c r="X73" i="450"/>
  <c r="X82" i="450"/>
  <c r="X53" i="450"/>
  <c r="X52" i="450"/>
  <c r="X66" i="450" s="1"/>
  <c r="X75" i="447"/>
  <c r="B55" i="454"/>
  <c r="Y11" i="455"/>
  <c r="Y54" i="455" s="1"/>
  <c r="Y12" i="455"/>
  <c r="Z10" i="455"/>
  <c r="Y9" i="455"/>
  <c r="Y49" i="455"/>
  <c r="AB10" i="445"/>
  <c r="AA9" i="445"/>
  <c r="AA12" i="445"/>
  <c r="AA11" i="445"/>
  <c r="AA54" i="445" s="1"/>
  <c r="AA49" i="445"/>
  <c r="Z11" i="449"/>
  <c r="Z54" i="449" s="1"/>
  <c r="AA10" i="449"/>
  <c r="Z12" i="449"/>
  <c r="Z9" i="449"/>
  <c r="Z49" i="449"/>
  <c r="X75" i="444"/>
  <c r="X76" i="444" s="1"/>
  <c r="W77" i="444" s="1"/>
  <c r="W69" i="444" s="1"/>
  <c r="X53" i="452"/>
  <c r="X55" i="452" s="1"/>
  <c r="X82" i="452"/>
  <c r="X52" i="452"/>
  <c r="X73" i="452"/>
  <c r="Z11" i="447"/>
  <c r="Z54" i="447" s="1"/>
  <c r="AA10" i="447"/>
  <c r="Z12" i="447"/>
  <c r="Z9" i="447"/>
  <c r="Z49" i="447"/>
  <c r="X73" i="453"/>
  <c r="X53" i="453"/>
  <c r="X82" i="453"/>
  <c r="X52" i="453"/>
  <c r="X66" i="453" s="1"/>
  <c r="W75" i="454"/>
  <c r="W76" i="454" s="1"/>
  <c r="V77" i="454" s="1"/>
  <c r="V69" i="454" s="1"/>
  <c r="W75" i="450"/>
  <c r="W76" i="450" s="1"/>
  <c r="V77" i="450" s="1"/>
  <c r="V69" i="450" s="1"/>
  <c r="V76" i="450"/>
  <c r="U77" i="450" s="1"/>
  <c r="U69" i="450" s="1"/>
  <c r="W75" i="446"/>
  <c r="W76" i="446" s="1"/>
  <c r="V77" i="446" s="1"/>
  <c r="V69" i="446" s="1"/>
  <c r="X82" i="455"/>
  <c r="X73" i="455"/>
  <c r="X53" i="455"/>
  <c r="X55" i="455" s="1"/>
  <c r="X52" i="455"/>
  <c r="W75" i="453"/>
  <c r="V19" i="28"/>
  <c r="W19" i="28" s="1"/>
  <c r="V22" i="28"/>
  <c r="W22" i="28" s="1"/>
  <c r="X8" i="28"/>
  <c r="X25" i="28" s="1"/>
  <c r="Y25" i="28" s="1"/>
  <c r="V23" i="28"/>
  <c r="W23" i="28" s="1"/>
  <c r="V26" i="28"/>
  <c r="W26" i="28" s="1"/>
  <c r="V25" i="28"/>
  <c r="W25" i="28" s="1"/>
  <c r="V18" i="28"/>
  <c r="W18" i="28" s="1"/>
  <c r="T12" i="28"/>
  <c r="V27" i="28"/>
  <c r="W27" i="28" s="1"/>
  <c r="V17" i="28"/>
  <c r="W17" i="28" s="1"/>
  <c r="V24" i="28"/>
  <c r="W24" i="28" s="1"/>
  <c r="V28" i="28"/>
  <c r="W28" i="28" s="1"/>
  <c r="V21" i="28"/>
  <c r="W21" i="28" s="1"/>
  <c r="V20" i="28"/>
  <c r="W20" i="28" s="1"/>
  <c r="T31" i="28"/>
  <c r="T34" i="28"/>
  <c r="T13" i="28"/>
  <c r="T30" i="28"/>
  <c r="T14" i="28"/>
  <c r="R15" i="28"/>
  <c r="R32" i="28"/>
  <c r="J24" i="1"/>
  <c r="D26" i="15"/>
  <c r="C28" i="28"/>
  <c r="E28" i="28"/>
  <c r="G28" i="28"/>
  <c r="I28" i="28"/>
  <c r="K28" i="28"/>
  <c r="M28" i="28"/>
  <c r="O28" i="28"/>
  <c r="Q28" i="28"/>
  <c r="S28" i="28"/>
  <c r="U28" i="28"/>
  <c r="V13" i="28"/>
  <c r="V11" i="28"/>
  <c r="V12" i="28"/>
  <c r="V14" i="28"/>
  <c r="Q55" i="455" l="1"/>
  <c r="X55" i="453"/>
  <c r="Z12" i="455"/>
  <c r="Z11" i="455"/>
  <c r="Z54" i="455" s="1"/>
  <c r="Z9" i="455"/>
  <c r="AA10" i="455"/>
  <c r="Z49" i="455"/>
  <c r="Z11" i="450"/>
  <c r="Z54" i="450" s="1"/>
  <c r="Z9" i="450"/>
  <c r="Z12" i="450"/>
  <c r="AA10" i="450"/>
  <c r="Z49" i="450"/>
  <c r="Y73" i="452"/>
  <c r="Y82" i="452"/>
  <c r="Y52" i="452"/>
  <c r="Y66" i="452" s="1"/>
  <c r="Y53" i="452"/>
  <c r="Y55" i="452" s="1"/>
  <c r="X55" i="450"/>
  <c r="Z75" i="445"/>
  <c r="Z76" i="445" s="1"/>
  <c r="Y77" i="445" s="1"/>
  <c r="Y69" i="445" s="1"/>
  <c r="X75" i="446"/>
  <c r="Y73" i="454"/>
  <c r="Y82" i="454"/>
  <c r="Y52" i="454"/>
  <c r="Y53" i="454"/>
  <c r="J25" i="1"/>
  <c r="V3" i="455"/>
  <c r="W76" i="453"/>
  <c r="V77" i="453" s="1"/>
  <c r="V69" i="453" s="1"/>
  <c r="X75" i="453"/>
  <c r="Z82" i="447"/>
  <c r="Z52" i="447"/>
  <c r="Z53" i="447"/>
  <c r="Z55" i="447" s="1"/>
  <c r="Z73" i="447"/>
  <c r="Y82" i="455"/>
  <c r="Y53" i="455"/>
  <c r="Y55" i="455" s="1"/>
  <c r="Y52" i="455"/>
  <c r="Y66" i="455" s="1"/>
  <c r="Y73" i="455"/>
  <c r="Z12" i="453"/>
  <c r="AA10" i="453"/>
  <c r="Z11" i="453"/>
  <c r="Z54" i="453" s="1"/>
  <c r="Z9" i="453"/>
  <c r="Z49" i="453"/>
  <c r="W76" i="448"/>
  <c r="V77" i="448" s="1"/>
  <c r="V69" i="448" s="1"/>
  <c r="AA11" i="444"/>
  <c r="AA54" i="444" s="1"/>
  <c r="AA9" i="444"/>
  <c r="AA12" i="444"/>
  <c r="AB10" i="444"/>
  <c r="AA49" i="444"/>
  <c r="AA68" i="444"/>
  <c r="AA56" i="444"/>
  <c r="Y82" i="450"/>
  <c r="Y73" i="450"/>
  <c r="Y53" i="450"/>
  <c r="Y55" i="450" s="1"/>
  <c r="Y52" i="450"/>
  <c r="Y66" i="450" s="1"/>
  <c r="X55" i="451"/>
  <c r="Y75" i="444"/>
  <c r="Z11" i="452"/>
  <c r="Z54" i="452" s="1"/>
  <c r="AA10" i="452"/>
  <c r="Z12" i="452"/>
  <c r="Z9" i="452"/>
  <c r="Z49" i="452"/>
  <c r="Z11" i="454"/>
  <c r="Z54" i="454" s="1"/>
  <c r="AA10" i="454"/>
  <c r="Z12" i="454"/>
  <c r="Z9" i="454"/>
  <c r="Z49" i="454"/>
  <c r="W76" i="451"/>
  <c r="V77" i="451" s="1"/>
  <c r="V69" i="451" s="1"/>
  <c r="Z11" i="448"/>
  <c r="Z54" i="448" s="1"/>
  <c r="Z9" i="448"/>
  <c r="AA10" i="448"/>
  <c r="Z12" i="448"/>
  <c r="Z49" i="448"/>
  <c r="AA49" i="449"/>
  <c r="AA11" i="449"/>
  <c r="AA54" i="449" s="1"/>
  <c r="AB10" i="449"/>
  <c r="AA12" i="449"/>
  <c r="AA9" i="449"/>
  <c r="X75" i="450"/>
  <c r="X76" i="450" s="1"/>
  <c r="W77" i="450" s="1"/>
  <c r="W69" i="450" s="1"/>
  <c r="Y73" i="453"/>
  <c r="Y53" i="453"/>
  <c r="Y55" i="453" s="1"/>
  <c r="Y52" i="453"/>
  <c r="Y82" i="453"/>
  <c r="Z11" i="446"/>
  <c r="Z54" i="446" s="1"/>
  <c r="Z12" i="446"/>
  <c r="Z9" i="446"/>
  <c r="AA10" i="446"/>
  <c r="Z49" i="446"/>
  <c r="Z73" i="444"/>
  <c r="Z53" i="444"/>
  <c r="Z55" i="444" s="1"/>
  <c r="Z52" i="444"/>
  <c r="Z82" i="444"/>
  <c r="Y75" i="449"/>
  <c r="Y76" i="449" s="1"/>
  <c r="X77" i="449" s="1"/>
  <c r="X69" i="449" s="1"/>
  <c r="X75" i="451"/>
  <c r="X76" i="451" s="1"/>
  <c r="W77" i="451" s="1"/>
  <c r="W69" i="451" s="1"/>
  <c r="X55" i="448"/>
  <c r="Z12" i="451"/>
  <c r="AA10" i="451"/>
  <c r="Z11" i="451"/>
  <c r="Z54" i="451" s="1"/>
  <c r="Z9" i="451"/>
  <c r="Z49" i="451"/>
  <c r="Y73" i="448"/>
  <c r="Y53" i="448"/>
  <c r="Y55" i="448" s="1"/>
  <c r="Y52" i="448"/>
  <c r="Y82" i="448"/>
  <c r="B55" i="455"/>
  <c r="Z82" i="449"/>
  <c r="Z52" i="449"/>
  <c r="Z66" i="449" s="1"/>
  <c r="Z73" i="449"/>
  <c r="Z53" i="449"/>
  <c r="Z55" i="449" s="1"/>
  <c r="AA82" i="445"/>
  <c r="AA73" i="445"/>
  <c r="AA53" i="445"/>
  <c r="AA55" i="445" s="1"/>
  <c r="AA52" i="445"/>
  <c r="AA66" i="445" s="1"/>
  <c r="L81" i="444"/>
  <c r="M34" i="444"/>
  <c r="X75" i="455"/>
  <c r="X76" i="455" s="1"/>
  <c r="W77" i="455" s="1"/>
  <c r="W69" i="455" s="1"/>
  <c r="X75" i="452"/>
  <c r="X76" i="452" s="1"/>
  <c r="W77" i="452" s="1"/>
  <c r="W69" i="452" s="1"/>
  <c r="AB12" i="445"/>
  <c r="AB11" i="445"/>
  <c r="AB54" i="445" s="1"/>
  <c r="AC10" i="445"/>
  <c r="AB9" i="445"/>
  <c r="AB49" i="445"/>
  <c r="X75" i="454"/>
  <c r="X76" i="454" s="1"/>
  <c r="W77" i="454" s="1"/>
  <c r="W69" i="454" s="1"/>
  <c r="AA12" i="447"/>
  <c r="AA9" i="447"/>
  <c r="AB10" i="447"/>
  <c r="AA11" i="447"/>
  <c r="AA54" i="447" s="1"/>
  <c r="AA49" i="447"/>
  <c r="X76" i="447"/>
  <c r="W77" i="447" s="1"/>
  <c r="W69" i="447" s="1"/>
  <c r="Y82" i="446"/>
  <c r="Y73" i="446"/>
  <c r="Y53" i="446"/>
  <c r="Y55" i="446" s="1"/>
  <c r="Y52" i="446"/>
  <c r="X55" i="446"/>
  <c r="Y75" i="447"/>
  <c r="Y76" i="447" s="1"/>
  <c r="X77" i="447" s="1"/>
  <c r="X69" i="447" s="1"/>
  <c r="H79" i="444"/>
  <c r="I70" i="444"/>
  <c r="X75" i="448"/>
  <c r="X76" i="448" s="1"/>
  <c r="W77" i="448" s="1"/>
  <c r="W69" i="448" s="1"/>
  <c r="Y82" i="451"/>
  <c r="Y73" i="451"/>
  <c r="Y53" i="451"/>
  <c r="Y55" i="451" s="1"/>
  <c r="Y52" i="451"/>
  <c r="X9" i="28"/>
  <c r="X13" i="28" s="1"/>
  <c r="X26" i="28"/>
  <c r="Y26" i="28" s="1"/>
  <c r="X24" i="28"/>
  <c r="Y24" i="28" s="1"/>
  <c r="X28" i="28"/>
  <c r="Y28" i="28" s="1"/>
  <c r="X22" i="28"/>
  <c r="Y22" i="28" s="1"/>
  <c r="Z8" i="28"/>
  <c r="Z25" i="28" s="1"/>
  <c r="AA25" i="28" s="1"/>
  <c r="X23" i="28"/>
  <c r="Y23" i="28" s="1"/>
  <c r="X18" i="28"/>
  <c r="Y18" i="28" s="1"/>
  <c r="X27" i="28"/>
  <c r="Y27" i="28" s="1"/>
  <c r="X20" i="28"/>
  <c r="Y20" i="28" s="1"/>
  <c r="X17" i="28"/>
  <c r="Y17" i="28" s="1"/>
  <c r="X19" i="28"/>
  <c r="Y19" i="28" s="1"/>
  <c r="X21" i="28"/>
  <c r="Y21" i="28" s="1"/>
  <c r="V31" i="28"/>
  <c r="V30" i="28"/>
  <c r="V34" i="28"/>
  <c r="T32" i="28"/>
  <c r="T15" i="28"/>
  <c r="Y75" i="451" l="1"/>
  <c r="Y76" i="451" s="1"/>
  <c r="X77" i="451" s="1"/>
  <c r="X69" i="451" s="1"/>
  <c r="AA52" i="447"/>
  <c r="AA53" i="447"/>
  <c r="AA55" i="447" s="1"/>
  <c r="AA73" i="447"/>
  <c r="AA82" i="447"/>
  <c r="AC12" i="445"/>
  <c r="AC11" i="445"/>
  <c r="AC54" i="445" s="1"/>
  <c r="AF54" i="445" s="1"/>
  <c r="B14" i="1" s="1"/>
  <c r="AC9" i="445"/>
  <c r="AC49" i="445"/>
  <c r="AF49" i="445" s="1"/>
  <c r="N34" i="444"/>
  <c r="M81" i="444"/>
  <c r="AA75" i="445"/>
  <c r="AA76" i="445" s="1"/>
  <c r="Z77" i="445" s="1"/>
  <c r="Z69" i="445" s="1"/>
  <c r="Z75" i="449"/>
  <c r="Z76" i="449" s="1"/>
  <c r="Y77" i="449" s="1"/>
  <c r="Y69" i="449" s="1"/>
  <c r="AB12" i="449"/>
  <c r="AB9" i="449"/>
  <c r="AB11" i="449"/>
  <c r="AB54" i="449" s="1"/>
  <c r="AC10" i="449"/>
  <c r="AB49" i="449"/>
  <c r="Z82" i="448"/>
  <c r="Z73" i="448"/>
  <c r="Z53" i="448"/>
  <c r="Z55" i="448" s="1"/>
  <c r="Z52" i="448"/>
  <c r="AA12" i="454"/>
  <c r="AA9" i="454"/>
  <c r="AA11" i="454"/>
  <c r="AA54" i="454" s="1"/>
  <c r="AB10" i="454"/>
  <c r="AA49" i="454"/>
  <c r="AA12" i="452"/>
  <c r="AA9" i="452"/>
  <c r="AA11" i="452"/>
  <c r="AA54" i="452" s="1"/>
  <c r="AB10" i="452"/>
  <c r="AA49" i="452"/>
  <c r="Z82" i="453"/>
  <c r="Z73" i="453"/>
  <c r="Z53" i="453"/>
  <c r="Z55" i="453" s="1"/>
  <c r="Z52" i="453"/>
  <c r="Y55" i="454"/>
  <c r="AA11" i="455"/>
  <c r="AA54" i="455" s="1"/>
  <c r="AA9" i="455"/>
  <c r="AA12" i="455"/>
  <c r="AB10" i="455"/>
  <c r="AA49" i="455"/>
  <c r="AB12" i="447"/>
  <c r="AB9" i="447"/>
  <c r="AB11" i="447"/>
  <c r="AB54" i="447" s="1"/>
  <c r="AC10" i="447"/>
  <c r="AB49" i="447"/>
  <c r="Y75" i="448"/>
  <c r="AA11" i="451"/>
  <c r="AA54" i="451" s="1"/>
  <c r="AA9" i="451"/>
  <c r="AA12" i="451"/>
  <c r="AB10" i="451"/>
  <c r="AA49" i="451"/>
  <c r="AA11" i="446"/>
  <c r="AA54" i="446" s="1"/>
  <c r="AA9" i="446"/>
  <c r="AA12" i="446"/>
  <c r="AB10" i="446"/>
  <c r="AA49" i="446"/>
  <c r="AA11" i="448"/>
  <c r="AA54" i="448" s="1"/>
  <c r="AA9" i="448"/>
  <c r="AA12" i="448"/>
  <c r="AB10" i="448"/>
  <c r="AA49" i="448"/>
  <c r="AA73" i="444"/>
  <c r="AA53" i="444"/>
  <c r="AA55" i="444" s="1"/>
  <c r="AA52" i="444"/>
  <c r="AA82" i="444"/>
  <c r="Y75" i="452"/>
  <c r="Y76" i="452" s="1"/>
  <c r="X77" i="452" s="1"/>
  <c r="X69" i="452" s="1"/>
  <c r="AA49" i="450"/>
  <c r="AA11" i="450"/>
  <c r="AA54" i="450" s="1"/>
  <c r="AA9" i="450"/>
  <c r="AA12" i="450"/>
  <c r="AB10" i="450"/>
  <c r="Y75" i="446"/>
  <c r="Z82" i="451"/>
  <c r="Z52" i="451"/>
  <c r="Z73" i="451"/>
  <c r="Z53" i="451"/>
  <c r="Z55" i="451" s="1"/>
  <c r="AA53" i="449"/>
  <c r="AA55" i="449" s="1"/>
  <c r="AA73" i="449"/>
  <c r="AA82" i="449"/>
  <c r="AA52" i="449"/>
  <c r="AA66" i="449" s="1"/>
  <c r="Y76" i="444"/>
  <c r="X77" i="444" s="1"/>
  <c r="X69" i="444" s="1"/>
  <c r="Y75" i="450"/>
  <c r="Y76" i="450" s="1"/>
  <c r="X77" i="450" s="1"/>
  <c r="X69" i="450" s="1"/>
  <c r="Z75" i="447"/>
  <c r="X76" i="453"/>
  <c r="W77" i="453" s="1"/>
  <c r="W69" i="453" s="1"/>
  <c r="X76" i="446"/>
  <c r="W77" i="446" s="1"/>
  <c r="W69" i="446" s="1"/>
  <c r="Z82" i="450"/>
  <c r="Z73" i="450"/>
  <c r="Z53" i="450"/>
  <c r="Z55" i="450" s="1"/>
  <c r="Z52" i="450"/>
  <c r="I79" i="444"/>
  <c r="J70" i="444"/>
  <c r="AB73" i="445"/>
  <c r="AB53" i="445"/>
  <c r="AB55" i="445" s="1"/>
  <c r="AB52" i="445"/>
  <c r="AB66" i="445" s="1"/>
  <c r="AB82" i="445"/>
  <c r="Z75" i="444"/>
  <c r="Z82" i="446"/>
  <c r="Z73" i="446"/>
  <c r="Z53" i="446"/>
  <c r="Z55" i="446" s="1"/>
  <c r="Z52" i="446"/>
  <c r="Y75" i="453"/>
  <c r="Y76" i="453" s="1"/>
  <c r="X77" i="453" s="1"/>
  <c r="X69" i="453" s="1"/>
  <c r="Z73" i="454"/>
  <c r="Z82" i="454"/>
  <c r="Z52" i="454"/>
  <c r="Z53" i="454"/>
  <c r="Z55" i="454" s="1"/>
  <c r="Z82" i="452"/>
  <c r="Z53" i="452"/>
  <c r="Z73" i="452"/>
  <c r="Z52" i="452"/>
  <c r="Z66" i="452" s="1"/>
  <c r="AB11" i="444"/>
  <c r="AB54" i="444" s="1"/>
  <c r="AB9" i="444"/>
  <c r="AB12" i="444"/>
  <c r="AC10" i="444"/>
  <c r="AB49" i="444"/>
  <c r="AB68" i="444"/>
  <c r="AB56" i="444"/>
  <c r="AA11" i="453"/>
  <c r="AA54" i="453" s="1"/>
  <c r="AA9" i="453"/>
  <c r="AA12" i="453"/>
  <c r="AB10" i="453"/>
  <c r="AA49" i="453"/>
  <c r="Y75" i="455"/>
  <c r="Y75" i="454"/>
  <c r="Z82" i="455"/>
  <c r="Z73" i="455"/>
  <c r="Z53" i="455"/>
  <c r="Z52" i="455"/>
  <c r="Z66" i="455" s="1"/>
  <c r="Z21" i="28"/>
  <c r="AA21" i="28" s="1"/>
  <c r="X12" i="28"/>
  <c r="X11" i="28"/>
  <c r="X14" i="28"/>
  <c r="Z18" i="28"/>
  <c r="AA18" i="28" s="1"/>
  <c r="Z26" i="28"/>
  <c r="AA26" i="28" s="1"/>
  <c r="Z22" i="28"/>
  <c r="AA22" i="28" s="1"/>
  <c r="Z23" i="28"/>
  <c r="AA23" i="28" s="1"/>
  <c r="Z9" i="28"/>
  <c r="Z12" i="28" s="1"/>
  <c r="Z19" i="28"/>
  <c r="AA19" i="28" s="1"/>
  <c r="Z28" i="28"/>
  <c r="AA28" i="28" s="1"/>
  <c r="Z27" i="28"/>
  <c r="AA27" i="28" s="1"/>
  <c r="Z24" i="28"/>
  <c r="AA24" i="28" s="1"/>
  <c r="Z17" i="28"/>
  <c r="AA17" i="28" s="1"/>
  <c r="AB8" i="28"/>
  <c r="AB23" i="28" s="1"/>
  <c r="AC23" i="28" s="1"/>
  <c r="Z20" i="28"/>
  <c r="AA20" i="28" s="1"/>
  <c r="X34" i="28"/>
  <c r="X31" i="28"/>
  <c r="X30" i="28"/>
  <c r="V15" i="28"/>
  <c r="V32" i="28"/>
  <c r="AB75" i="445" l="1"/>
  <c r="Z75" i="450"/>
  <c r="AB11" i="448"/>
  <c r="AB54" i="448" s="1"/>
  <c r="AB9" i="448"/>
  <c r="AB12" i="448"/>
  <c r="AC10" i="448"/>
  <c r="AB49" i="448"/>
  <c r="AB12" i="455"/>
  <c r="AC10" i="455"/>
  <c r="AB11" i="455"/>
  <c r="AB54" i="455" s="1"/>
  <c r="AB9" i="455"/>
  <c r="AB49" i="455"/>
  <c r="AB12" i="452"/>
  <c r="AB9" i="452"/>
  <c r="AB11" i="452"/>
  <c r="AB54" i="452" s="1"/>
  <c r="AC10" i="452"/>
  <c r="AB49" i="452"/>
  <c r="Z75" i="448"/>
  <c r="Z76" i="448" s="1"/>
  <c r="Y77" i="448" s="1"/>
  <c r="Y69" i="448" s="1"/>
  <c r="AB73" i="449"/>
  <c r="AB82" i="449"/>
  <c r="AB52" i="449"/>
  <c r="AB53" i="449"/>
  <c r="AB55" i="449" s="1"/>
  <c r="AC12" i="444"/>
  <c r="AD10" i="444"/>
  <c r="AC11" i="444"/>
  <c r="AC54" i="444" s="1"/>
  <c r="AC9" i="444"/>
  <c r="AC49" i="444"/>
  <c r="AC68" i="444"/>
  <c r="AC56" i="444"/>
  <c r="Z75" i="454"/>
  <c r="Z76" i="454" s="1"/>
  <c r="Y77" i="454" s="1"/>
  <c r="Y69" i="454" s="1"/>
  <c r="AB11" i="450"/>
  <c r="AB54" i="450" s="1"/>
  <c r="AB9" i="450"/>
  <c r="AB12" i="450"/>
  <c r="AC10" i="450"/>
  <c r="AB49" i="450"/>
  <c r="AA75" i="444"/>
  <c r="AA82" i="448"/>
  <c r="AA73" i="448"/>
  <c r="AA53" i="448"/>
  <c r="AA55" i="448" s="1"/>
  <c r="AA52" i="448"/>
  <c r="AA66" i="448" s="1"/>
  <c r="AA73" i="446"/>
  <c r="AA53" i="446"/>
  <c r="AA55" i="446" s="1"/>
  <c r="AA52" i="446"/>
  <c r="AA66" i="446" s="1"/>
  <c r="AA82" i="446"/>
  <c r="AB11" i="451"/>
  <c r="AB54" i="451" s="1"/>
  <c r="AB9" i="451"/>
  <c r="AB12" i="451"/>
  <c r="AC10" i="451"/>
  <c r="AB49" i="451"/>
  <c r="Y76" i="448"/>
  <c r="X77" i="448" s="1"/>
  <c r="X69" i="448" s="1"/>
  <c r="AA82" i="455"/>
  <c r="AA73" i="455"/>
  <c r="AA53" i="455"/>
  <c r="AA55" i="455" s="1"/>
  <c r="AA52" i="455"/>
  <c r="AA66" i="455" s="1"/>
  <c r="AC12" i="449"/>
  <c r="AC9" i="449"/>
  <c r="AC11" i="449"/>
  <c r="AC54" i="449" s="1"/>
  <c r="AD10" i="449"/>
  <c r="AC49" i="449"/>
  <c r="O34" i="444"/>
  <c r="N81" i="444"/>
  <c r="Z55" i="455"/>
  <c r="Z75" i="455"/>
  <c r="AB11" i="453"/>
  <c r="AB54" i="453" s="1"/>
  <c r="AB9" i="453"/>
  <c r="AB12" i="453"/>
  <c r="AC10" i="453"/>
  <c r="AB49" i="453"/>
  <c r="Y76" i="454"/>
  <c r="X77" i="454" s="1"/>
  <c r="X69" i="454" s="1"/>
  <c r="AA82" i="453"/>
  <c r="AA73" i="453"/>
  <c r="AA53" i="453"/>
  <c r="AA52" i="453"/>
  <c r="AB82" i="444"/>
  <c r="AB53" i="444"/>
  <c r="AB55" i="444" s="1"/>
  <c r="AB52" i="444"/>
  <c r="AB73" i="444"/>
  <c r="Z75" i="452"/>
  <c r="Z76" i="452" s="1"/>
  <c r="Y77" i="452" s="1"/>
  <c r="Y69" i="452" s="1"/>
  <c r="Z75" i="451"/>
  <c r="Z76" i="451" s="1"/>
  <c r="Y77" i="451" s="1"/>
  <c r="Y69" i="451" s="1"/>
  <c r="AA53" i="450"/>
  <c r="AA55" i="450" s="1"/>
  <c r="AA52" i="450"/>
  <c r="AA82" i="450"/>
  <c r="AA73" i="450"/>
  <c r="AA73" i="451"/>
  <c r="AA82" i="451"/>
  <c r="AA53" i="451"/>
  <c r="AA52" i="451"/>
  <c r="AC11" i="447"/>
  <c r="AC54" i="447" s="1"/>
  <c r="AD10" i="447"/>
  <c r="AC9" i="447"/>
  <c r="AC12" i="447"/>
  <c r="AC49" i="447"/>
  <c r="AB53" i="447"/>
  <c r="AB55" i="447" s="1"/>
  <c r="AB73" i="447"/>
  <c r="AB82" i="447"/>
  <c r="AB52" i="447"/>
  <c r="Z75" i="453"/>
  <c r="AA73" i="454"/>
  <c r="AA82" i="454"/>
  <c r="AA52" i="454"/>
  <c r="AA66" i="454" s="1"/>
  <c r="AA53" i="454"/>
  <c r="AA55" i="454" s="1"/>
  <c r="AC82" i="445"/>
  <c r="AC53" i="445"/>
  <c r="AC52" i="445"/>
  <c r="AC73" i="445"/>
  <c r="AA75" i="447"/>
  <c r="AA76" i="447" s="1"/>
  <c r="Z77" i="447" s="1"/>
  <c r="Z69" i="447" s="1"/>
  <c r="Y76" i="455"/>
  <c r="X77" i="455" s="1"/>
  <c r="X69" i="455" s="1"/>
  <c r="Z55" i="452"/>
  <c r="Z75" i="446"/>
  <c r="Z76" i="444"/>
  <c r="Y77" i="444" s="1"/>
  <c r="Y69" i="444" s="1"/>
  <c r="J79" i="444"/>
  <c r="K70" i="444"/>
  <c r="Z76" i="447"/>
  <c r="Y77" i="447" s="1"/>
  <c r="Y69" i="447" s="1"/>
  <c r="AA75" i="449"/>
  <c r="Y76" i="446"/>
  <c r="X77" i="446" s="1"/>
  <c r="X69" i="446" s="1"/>
  <c r="AB11" i="446"/>
  <c r="AB54" i="446" s="1"/>
  <c r="AB9" i="446"/>
  <c r="AB12" i="446"/>
  <c r="AC10" i="446"/>
  <c r="AB49" i="446"/>
  <c r="AA52" i="452"/>
  <c r="AA73" i="452"/>
  <c r="AA82" i="452"/>
  <c r="AA53" i="452"/>
  <c r="AA55" i="452" s="1"/>
  <c r="AB12" i="454"/>
  <c r="AB9" i="454"/>
  <c r="AB11" i="454"/>
  <c r="AB54" i="454" s="1"/>
  <c r="AC10" i="454"/>
  <c r="AB49" i="454"/>
  <c r="Z11" i="28"/>
  <c r="Z14" i="28"/>
  <c r="Z13" i="28"/>
  <c r="AB25" i="28"/>
  <c r="AC25" i="28" s="1"/>
  <c r="AB21" i="28"/>
  <c r="AC21" i="28" s="1"/>
  <c r="AD8" i="28"/>
  <c r="AD27" i="28" s="1"/>
  <c r="AE27" i="28" s="1"/>
  <c r="AB18" i="28"/>
  <c r="AC18" i="28" s="1"/>
  <c r="Z31" i="28"/>
  <c r="AB28" i="28"/>
  <c r="AC28" i="28" s="1"/>
  <c r="AB27" i="28"/>
  <c r="AC27" i="28" s="1"/>
  <c r="AB9" i="28"/>
  <c r="AB14" i="28" s="1"/>
  <c r="AB17" i="28"/>
  <c r="AC17" i="28" s="1"/>
  <c r="AB22" i="28"/>
  <c r="AC22" i="28" s="1"/>
  <c r="AB26" i="28"/>
  <c r="AC26" i="28" s="1"/>
  <c r="AB24" i="28"/>
  <c r="AC24" i="28" s="1"/>
  <c r="AB20" i="28"/>
  <c r="AC20" i="28" s="1"/>
  <c r="AB19" i="28"/>
  <c r="AC19" i="28" s="1"/>
  <c r="Z30" i="28"/>
  <c r="Z34" i="28"/>
  <c r="X15" i="28"/>
  <c r="X32" i="28"/>
  <c r="AB82" i="454" l="1"/>
  <c r="AB73" i="454"/>
  <c r="AB53" i="454"/>
  <c r="AB52" i="454"/>
  <c r="AB66" i="454" s="1"/>
  <c r="AB73" i="446"/>
  <c r="AB53" i="446"/>
  <c r="AB55" i="446" s="1"/>
  <c r="AB52" i="446"/>
  <c r="AB66" i="446" s="1"/>
  <c r="AB82" i="446"/>
  <c r="K79" i="444"/>
  <c r="L70" i="444"/>
  <c r="AD11" i="447"/>
  <c r="AD54" i="447" s="1"/>
  <c r="AE10" i="447"/>
  <c r="AD12" i="447"/>
  <c r="AD9" i="447"/>
  <c r="AD49" i="447"/>
  <c r="AA75" i="450"/>
  <c r="AA76" i="450" s="1"/>
  <c r="Z77" i="450" s="1"/>
  <c r="Z69" i="450" s="1"/>
  <c r="AA55" i="453"/>
  <c r="AC82" i="449"/>
  <c r="AC53" i="449"/>
  <c r="AC55" i="449" s="1"/>
  <c r="AC73" i="449"/>
  <c r="AC52" i="449"/>
  <c r="AB73" i="450"/>
  <c r="AB82" i="450"/>
  <c r="AB53" i="450"/>
  <c r="AB55" i="450" s="1"/>
  <c r="AB52" i="450"/>
  <c r="AC11" i="452"/>
  <c r="AC54" i="452" s="1"/>
  <c r="AD10" i="452"/>
  <c r="AC12" i="452"/>
  <c r="AC9" i="452"/>
  <c r="AC49" i="452"/>
  <c r="AC11" i="455"/>
  <c r="AC54" i="455" s="1"/>
  <c r="AC12" i="455"/>
  <c r="AD10" i="455"/>
  <c r="AC9" i="455"/>
  <c r="AC49" i="455"/>
  <c r="AC11" i="454"/>
  <c r="AC54" i="454" s="1"/>
  <c r="AD10" i="454"/>
  <c r="AC12" i="454"/>
  <c r="AC9" i="454"/>
  <c r="AC49" i="454"/>
  <c r="Z76" i="446"/>
  <c r="Y77" i="446" s="1"/>
  <c r="Y69" i="446" s="1"/>
  <c r="AC55" i="445"/>
  <c r="AF55" i="445" s="1"/>
  <c r="AK55" i="445" s="1"/>
  <c r="AF53" i="445"/>
  <c r="I14" i="1" s="1"/>
  <c r="Z76" i="453"/>
  <c r="Y77" i="453" s="1"/>
  <c r="Y69" i="453" s="1"/>
  <c r="AA55" i="451"/>
  <c r="AA75" i="453"/>
  <c r="AA76" i="453" s="1"/>
  <c r="Z77" i="453" s="1"/>
  <c r="Z69" i="453" s="1"/>
  <c r="AC11" i="453"/>
  <c r="AC54" i="453" s="1"/>
  <c r="AC9" i="453"/>
  <c r="AC12" i="453"/>
  <c r="AD10" i="453"/>
  <c r="AC49" i="453"/>
  <c r="AD11" i="449"/>
  <c r="AD54" i="449" s="1"/>
  <c r="AE10" i="449"/>
  <c r="AD12" i="449"/>
  <c r="AD9" i="449"/>
  <c r="AD49" i="449"/>
  <c r="AC11" i="451"/>
  <c r="AC54" i="451" s="1"/>
  <c r="AC9" i="451"/>
  <c r="AC12" i="451"/>
  <c r="AD10" i="451"/>
  <c r="AC49" i="451"/>
  <c r="AD12" i="444"/>
  <c r="AD11" i="444"/>
  <c r="AD54" i="444" s="1"/>
  <c r="AD9" i="444"/>
  <c r="AE10" i="444"/>
  <c r="AD49" i="444"/>
  <c r="AD56" i="444"/>
  <c r="AD68" i="444"/>
  <c r="AB82" i="455"/>
  <c r="AB73" i="455"/>
  <c r="AB53" i="455"/>
  <c r="AB52" i="455"/>
  <c r="AA75" i="452"/>
  <c r="AA76" i="452" s="1"/>
  <c r="Z77" i="452" s="1"/>
  <c r="Z69" i="452" s="1"/>
  <c r="AG82" i="445"/>
  <c r="AF82" i="445"/>
  <c r="AA75" i="454"/>
  <c r="AA76" i="454" s="1"/>
  <c r="Z77" i="454" s="1"/>
  <c r="Z69" i="454" s="1"/>
  <c r="AB75" i="447"/>
  <c r="AB76" i="447" s="1"/>
  <c r="AA77" i="447" s="1"/>
  <c r="AA69" i="447" s="1"/>
  <c r="AC73" i="447"/>
  <c r="AC82" i="447"/>
  <c r="AC52" i="447"/>
  <c r="AC53" i="447"/>
  <c r="AC55" i="447" s="1"/>
  <c r="AB76" i="444"/>
  <c r="AA77" i="444" s="1"/>
  <c r="AA69" i="444" s="1"/>
  <c r="AB75" i="444"/>
  <c r="AB82" i="453"/>
  <c r="AB53" i="453"/>
  <c r="AB55" i="453" s="1"/>
  <c r="AB73" i="453"/>
  <c r="AB52" i="453"/>
  <c r="Z76" i="455"/>
  <c r="Y77" i="455" s="1"/>
  <c r="Y69" i="455" s="1"/>
  <c r="AA75" i="455"/>
  <c r="AA76" i="455" s="1"/>
  <c r="Z77" i="455" s="1"/>
  <c r="Z69" i="455" s="1"/>
  <c r="AB82" i="451"/>
  <c r="AB73" i="451"/>
  <c r="AB53" i="451"/>
  <c r="AB55" i="451" s="1"/>
  <c r="AB52" i="451"/>
  <c r="AB66" i="451" s="1"/>
  <c r="AA75" i="446"/>
  <c r="AA75" i="448"/>
  <c r="AA76" i="448" s="1"/>
  <c r="Z77" i="448" s="1"/>
  <c r="Z69" i="448" s="1"/>
  <c r="AA76" i="444"/>
  <c r="Z77" i="444" s="1"/>
  <c r="Z69" i="444" s="1"/>
  <c r="AC82" i="444"/>
  <c r="AC73" i="444"/>
  <c r="AC53" i="444"/>
  <c r="AC55" i="444" s="1"/>
  <c r="AC52" i="444"/>
  <c r="AC12" i="448"/>
  <c r="AD10" i="448"/>
  <c r="AC9" i="448"/>
  <c r="AC11" i="448"/>
  <c r="AC54" i="448" s="1"/>
  <c r="AC49" i="448"/>
  <c r="AB76" i="445"/>
  <c r="AA77" i="445" s="1"/>
  <c r="AA69" i="445" s="1"/>
  <c r="AC12" i="446"/>
  <c r="AD10" i="446"/>
  <c r="AC9" i="446"/>
  <c r="AC11" i="446"/>
  <c r="AC54" i="446" s="1"/>
  <c r="AC49" i="446"/>
  <c r="AA76" i="449"/>
  <c r="Z77" i="449" s="1"/>
  <c r="Z69" i="449" s="1"/>
  <c r="AC75" i="445"/>
  <c r="AC77" i="445" s="1"/>
  <c r="AC69" i="445" s="1"/>
  <c r="AF73" i="445"/>
  <c r="AA75" i="451"/>
  <c r="O81" i="444"/>
  <c r="P34" i="444"/>
  <c r="AC12" i="450"/>
  <c r="AD10" i="450"/>
  <c r="AC11" i="450"/>
  <c r="AC54" i="450" s="1"/>
  <c r="AC9" i="450"/>
  <c r="AC49" i="450"/>
  <c r="AB75" i="449"/>
  <c r="AB76" i="449" s="1"/>
  <c r="AA77" i="449" s="1"/>
  <c r="AA69" i="449" s="1"/>
  <c r="AB53" i="452"/>
  <c r="AB55" i="452" s="1"/>
  <c r="AB82" i="452"/>
  <c r="AB73" i="452"/>
  <c r="AB52" i="452"/>
  <c r="AB73" i="448"/>
  <c r="AB53" i="448"/>
  <c r="AB55" i="448" s="1"/>
  <c r="AB52" i="448"/>
  <c r="AB82" i="448"/>
  <c r="Z76" i="450"/>
  <c r="Y77" i="450" s="1"/>
  <c r="Y69" i="450" s="1"/>
  <c r="AB11" i="28"/>
  <c r="AD22" i="28"/>
  <c r="AE22" i="28" s="1"/>
  <c r="AD21" i="28"/>
  <c r="AE21" i="28" s="1"/>
  <c r="AD26" i="28"/>
  <c r="AE26" i="28" s="1"/>
  <c r="AD17" i="28"/>
  <c r="AE17" i="28" s="1"/>
  <c r="AD23" i="28"/>
  <c r="AE23" i="28" s="1"/>
  <c r="AD18" i="28"/>
  <c r="AE18" i="28" s="1"/>
  <c r="AD9" i="28"/>
  <c r="AD13" i="28" s="1"/>
  <c r="AD25" i="28"/>
  <c r="AE25" i="28" s="1"/>
  <c r="AD20" i="28"/>
  <c r="AE20" i="28" s="1"/>
  <c r="AD24" i="28"/>
  <c r="AE24" i="28" s="1"/>
  <c r="AD28" i="28"/>
  <c r="AE28" i="28" s="1"/>
  <c r="AD19" i="28"/>
  <c r="AE19" i="28" s="1"/>
  <c r="Z15" i="28"/>
  <c r="Z32" i="28"/>
  <c r="AB30" i="28"/>
  <c r="AB12" i="28"/>
  <c r="AB31" i="28"/>
  <c r="AB13" i="28"/>
  <c r="AB34" i="28"/>
  <c r="AG27" i="28"/>
  <c r="T16" i="15" l="1"/>
  <c r="K14" i="1"/>
  <c r="AH84" i="445" s="1"/>
  <c r="L14" i="1"/>
  <c r="AH67" i="445" s="1"/>
  <c r="R14" i="1"/>
  <c r="E16" i="15"/>
  <c r="AA16" i="15"/>
  <c r="AL55" i="446"/>
  <c r="F16" i="15"/>
  <c r="O16" i="15"/>
  <c r="Q34" i="444"/>
  <c r="P81" i="444"/>
  <c r="AD9" i="446"/>
  <c r="AE10" i="446"/>
  <c r="AD11" i="446"/>
  <c r="AD54" i="446" s="1"/>
  <c r="AD12" i="446"/>
  <c r="AD49" i="446"/>
  <c r="AC73" i="448"/>
  <c r="AC53" i="448"/>
  <c r="AC55" i="448" s="1"/>
  <c r="AC52" i="448"/>
  <c r="AC66" i="448" s="1"/>
  <c r="AC82" i="448"/>
  <c r="AC75" i="444"/>
  <c r="AB75" i="453"/>
  <c r="AC75" i="447"/>
  <c r="AC76" i="447" s="1"/>
  <c r="AB77" i="447" s="1"/>
  <c r="AB69" i="447" s="1"/>
  <c r="AB75" i="455"/>
  <c r="AB76" i="455" s="1"/>
  <c r="AA77" i="455" s="1"/>
  <c r="AA69" i="455" s="1"/>
  <c r="AE11" i="449"/>
  <c r="AE54" i="449" s="1"/>
  <c r="AH54" i="449" s="1"/>
  <c r="B18" i="1" s="1"/>
  <c r="AE49" i="449"/>
  <c r="AH49" i="449" s="1"/>
  <c r="AE12" i="449"/>
  <c r="AE9" i="449"/>
  <c r="AC73" i="454"/>
  <c r="AC82" i="454"/>
  <c r="AC52" i="454"/>
  <c r="AC53" i="454"/>
  <c r="AC55" i="454" s="1"/>
  <c r="AD12" i="455"/>
  <c r="AD11" i="455"/>
  <c r="AD54" i="455" s="1"/>
  <c r="AE10" i="455"/>
  <c r="AD9" i="455"/>
  <c r="AD49" i="455"/>
  <c r="AB55" i="454"/>
  <c r="AD11" i="450"/>
  <c r="AD54" i="450" s="1"/>
  <c r="AD9" i="450"/>
  <c r="AD12" i="450"/>
  <c r="AE10" i="450"/>
  <c r="AD49" i="450"/>
  <c r="AC82" i="446"/>
  <c r="AC53" i="446"/>
  <c r="AC55" i="446" s="1"/>
  <c r="AC52" i="446"/>
  <c r="AC73" i="446"/>
  <c r="AE11" i="444"/>
  <c r="AE54" i="444" s="1"/>
  <c r="AE9" i="444"/>
  <c r="AE12" i="444"/>
  <c r="AF10" i="444"/>
  <c r="AE49" i="444"/>
  <c r="AE68" i="444"/>
  <c r="AE56" i="444"/>
  <c r="AD73" i="444"/>
  <c r="AD53" i="444"/>
  <c r="AD55" i="444" s="1"/>
  <c r="AD52" i="444"/>
  <c r="AD66" i="444" s="1"/>
  <c r="AD82" i="444"/>
  <c r="AD11" i="454"/>
  <c r="AD54" i="454" s="1"/>
  <c r="AE10" i="454"/>
  <c r="AD12" i="454"/>
  <c r="AD9" i="454"/>
  <c r="AD49" i="454"/>
  <c r="AC82" i="455"/>
  <c r="AC73" i="455"/>
  <c r="AC53" i="455"/>
  <c r="AC55" i="455" s="1"/>
  <c r="AC52" i="455"/>
  <c r="AD11" i="452"/>
  <c r="AD54" i="452" s="1"/>
  <c r="AE10" i="452"/>
  <c r="AD12" i="452"/>
  <c r="AD9" i="452"/>
  <c r="AD49" i="452"/>
  <c r="AB75" i="450"/>
  <c r="AE12" i="447"/>
  <c r="AE9" i="447"/>
  <c r="AE11" i="447"/>
  <c r="AE54" i="447" s="1"/>
  <c r="AH54" i="447" s="1"/>
  <c r="B16" i="1" s="1"/>
  <c r="AE49" i="447"/>
  <c r="AH49" i="447" s="1"/>
  <c r="L79" i="444"/>
  <c r="M70" i="444"/>
  <c r="AB75" i="454"/>
  <c r="AB76" i="454" s="1"/>
  <c r="AA77" i="454" s="1"/>
  <c r="AA69" i="454" s="1"/>
  <c r="AB75" i="452"/>
  <c r="AB76" i="452" s="1"/>
  <c r="AA77" i="452" s="1"/>
  <c r="AA69" i="452" s="1"/>
  <c r="AC82" i="450"/>
  <c r="AC73" i="450"/>
  <c r="AC53" i="450"/>
  <c r="AC55" i="450" s="1"/>
  <c r="AC52" i="450"/>
  <c r="AA76" i="451"/>
  <c r="Z77" i="451" s="1"/>
  <c r="Z69" i="451" s="1"/>
  <c r="AC76" i="445"/>
  <c r="AB77" i="445" s="1"/>
  <c r="AB69" i="445" s="1"/>
  <c r="AA76" i="446"/>
  <c r="Z77" i="446" s="1"/>
  <c r="Z69" i="446" s="1"/>
  <c r="AB75" i="451"/>
  <c r="AB76" i="451" s="1"/>
  <c r="AA77" i="451" s="1"/>
  <c r="AA69" i="451" s="1"/>
  <c r="AD12" i="451"/>
  <c r="AE10" i="451"/>
  <c r="AD11" i="451"/>
  <c r="AD54" i="451" s="1"/>
  <c r="AD9" i="451"/>
  <c r="AD49" i="451"/>
  <c r="AD12" i="453"/>
  <c r="AE10" i="453"/>
  <c r="AD11" i="453"/>
  <c r="AD54" i="453" s="1"/>
  <c r="AD9" i="453"/>
  <c r="AD49" i="453"/>
  <c r="AC75" i="449"/>
  <c r="AC76" i="449" s="1"/>
  <c r="AB77" i="449" s="1"/>
  <c r="AB69" i="449" s="1"/>
  <c r="AB75" i="448"/>
  <c r="AB76" i="448" s="1"/>
  <c r="AA77" i="448" s="1"/>
  <c r="AA69" i="448" s="1"/>
  <c r="AD11" i="448"/>
  <c r="AD54" i="448" s="1"/>
  <c r="AD9" i="448"/>
  <c r="AE10" i="448"/>
  <c r="AD12" i="448"/>
  <c r="AD49" i="448"/>
  <c r="AB55" i="455"/>
  <c r="AC82" i="451"/>
  <c r="AC73" i="451"/>
  <c r="AC53" i="451"/>
  <c r="AC55" i="451" s="1"/>
  <c r="AC52" i="451"/>
  <c r="AC66" i="451" s="1"/>
  <c r="AD82" i="449"/>
  <c r="AD52" i="449"/>
  <c r="AD73" i="449"/>
  <c r="AD53" i="449"/>
  <c r="AD55" i="449" s="1"/>
  <c r="AC73" i="453"/>
  <c r="AC82" i="453"/>
  <c r="AC53" i="453"/>
  <c r="AC55" i="453" s="1"/>
  <c r="AC52" i="453"/>
  <c r="AC73" i="452"/>
  <c r="AC82" i="452"/>
  <c r="AC52" i="452"/>
  <c r="AC53" i="452"/>
  <c r="AC55" i="452" s="1"/>
  <c r="AD82" i="447"/>
  <c r="AD52" i="447"/>
  <c r="AD53" i="447"/>
  <c r="AD55" i="447" s="1"/>
  <c r="AD73" i="447"/>
  <c r="AB75" i="446"/>
  <c r="AG21" i="28"/>
  <c r="AG26" i="28"/>
  <c r="AG20" i="28"/>
  <c r="AG18" i="28"/>
  <c r="AG24" i="28"/>
  <c r="AG23" i="28"/>
  <c r="AG22" i="28"/>
  <c r="AG17" i="28"/>
  <c r="AG25" i="28"/>
  <c r="AD31" i="28"/>
  <c r="AG31" i="28" s="1"/>
  <c r="AG19" i="28"/>
  <c r="AD12" i="28"/>
  <c r="AD11" i="28"/>
  <c r="AD30" i="28"/>
  <c r="AG30" i="28" s="1"/>
  <c r="AD14" i="28"/>
  <c r="AD34" i="28"/>
  <c r="AG34" i="28" s="1"/>
  <c r="AG28" i="28"/>
  <c r="AB32" i="28"/>
  <c r="AB15" i="28"/>
  <c r="C16" i="15" l="1"/>
  <c r="AG73" i="445"/>
  <c r="AD75" i="449"/>
  <c r="AD76" i="449" s="1"/>
  <c r="AC77" i="449" s="1"/>
  <c r="AC69" i="449" s="1"/>
  <c r="AC75" i="453"/>
  <c r="AE49" i="448"/>
  <c r="AE11" i="448"/>
  <c r="AE54" i="448" s="1"/>
  <c r="AE9" i="448"/>
  <c r="AE12" i="448"/>
  <c r="AF10" i="448"/>
  <c r="AD82" i="453"/>
  <c r="AD73" i="453"/>
  <c r="AD53" i="453"/>
  <c r="AD55" i="453" s="1"/>
  <c r="AD52" i="453"/>
  <c r="AD66" i="453" s="1"/>
  <c r="AD82" i="451"/>
  <c r="AD53" i="451"/>
  <c r="AD55" i="451" s="1"/>
  <c r="AD52" i="451"/>
  <c r="AD73" i="451"/>
  <c r="AE53" i="449"/>
  <c r="AE73" i="449"/>
  <c r="AE82" i="449"/>
  <c r="AE52" i="449"/>
  <c r="AC75" i="448"/>
  <c r="AC76" i="448" s="1"/>
  <c r="AB77" i="448" s="1"/>
  <c r="AB69" i="448" s="1"/>
  <c r="AE11" i="446"/>
  <c r="AE54" i="446" s="1"/>
  <c r="AE9" i="446"/>
  <c r="AF10" i="446"/>
  <c r="AE12" i="446"/>
  <c r="AE49" i="446"/>
  <c r="AE68" i="446"/>
  <c r="AB76" i="446"/>
  <c r="AA77" i="446" s="1"/>
  <c r="AA69" i="446" s="1"/>
  <c r="AD75" i="447"/>
  <c r="AD76" i="447" s="1"/>
  <c r="AC77" i="447" s="1"/>
  <c r="AC69" i="447" s="1"/>
  <c r="AC75" i="452"/>
  <c r="AC76" i="452" s="1"/>
  <c r="AB77" i="452" s="1"/>
  <c r="AB69" i="452" s="1"/>
  <c r="AF77" i="445"/>
  <c r="M79" i="444"/>
  <c r="N70" i="444"/>
  <c r="AE52" i="447"/>
  <c r="AE66" i="447" s="1"/>
  <c r="AE53" i="447"/>
  <c r="AE73" i="447"/>
  <c r="AE82" i="447"/>
  <c r="AB76" i="450"/>
  <c r="AA77" i="450" s="1"/>
  <c r="AA69" i="450" s="1"/>
  <c r="AF11" i="444"/>
  <c r="AF54" i="444" s="1"/>
  <c r="AI54" i="444" s="1"/>
  <c r="B13" i="1" s="1"/>
  <c r="AF9" i="444"/>
  <c r="AF12" i="444"/>
  <c r="AF49" i="444"/>
  <c r="AI49" i="444" s="1"/>
  <c r="AF68" i="444"/>
  <c r="AN68" i="444" s="1"/>
  <c r="B68" i="445" s="1"/>
  <c r="C68" i="445" s="1"/>
  <c r="D68" i="445" s="1"/>
  <c r="E68" i="445" s="1"/>
  <c r="F68" i="445" s="1"/>
  <c r="G68" i="445" s="1"/>
  <c r="H68" i="445" s="1"/>
  <c r="I68" i="445" s="1"/>
  <c r="J68" i="445" s="1"/>
  <c r="K68" i="445" s="1"/>
  <c r="L68" i="445" s="1"/>
  <c r="M68" i="445" s="1"/>
  <c r="N68" i="445" s="1"/>
  <c r="O68" i="445" s="1"/>
  <c r="P68" i="445" s="1"/>
  <c r="Q68" i="445" s="1"/>
  <c r="R68" i="445" s="1"/>
  <c r="S68" i="445" s="1"/>
  <c r="T68" i="445" s="1"/>
  <c r="U68" i="445" s="1"/>
  <c r="V68" i="445" s="1"/>
  <c r="W68" i="445" s="1"/>
  <c r="X68" i="445" s="1"/>
  <c r="Y68" i="445" s="1"/>
  <c r="Z68" i="445" s="1"/>
  <c r="AA68" i="445" s="1"/>
  <c r="AB68" i="445" s="1"/>
  <c r="AC68" i="445" s="1"/>
  <c r="AK68" i="445" s="1"/>
  <c r="B68" i="446" s="1"/>
  <c r="C68" i="446" s="1"/>
  <c r="D68" i="446" s="1"/>
  <c r="E68" i="446" s="1"/>
  <c r="F68" i="446" s="1"/>
  <c r="G68" i="446" s="1"/>
  <c r="H68" i="446" s="1"/>
  <c r="I68" i="446" s="1"/>
  <c r="J68" i="446" s="1"/>
  <c r="K68" i="446" s="1"/>
  <c r="L68" i="446" s="1"/>
  <c r="M68" i="446" s="1"/>
  <c r="N68" i="446" s="1"/>
  <c r="O68" i="446" s="1"/>
  <c r="P68" i="446" s="1"/>
  <c r="Q68" i="446" s="1"/>
  <c r="R68" i="446" s="1"/>
  <c r="S68" i="446" s="1"/>
  <c r="T68" i="446" s="1"/>
  <c r="U68" i="446" s="1"/>
  <c r="V68" i="446" s="1"/>
  <c r="W68" i="446" s="1"/>
  <c r="X68" i="446" s="1"/>
  <c r="Y68" i="446" s="1"/>
  <c r="Z68" i="446" s="1"/>
  <c r="AA68" i="446" s="1"/>
  <c r="AB68" i="446" s="1"/>
  <c r="AC68" i="446" s="1"/>
  <c r="AD68" i="446" s="1"/>
  <c r="AF56" i="444"/>
  <c r="AI56" i="444" s="1"/>
  <c r="AI58" i="444" s="1"/>
  <c r="AN58" i="444" s="1"/>
  <c r="AC75" i="446"/>
  <c r="AC76" i="446" s="1"/>
  <c r="AB77" i="446" s="1"/>
  <c r="AB69" i="446" s="1"/>
  <c r="AE49" i="450"/>
  <c r="AE11" i="450"/>
  <c r="AE54" i="450" s="1"/>
  <c r="AE9" i="450"/>
  <c r="AE12" i="450"/>
  <c r="AF10" i="450"/>
  <c r="AE11" i="455"/>
  <c r="AE54" i="455" s="1"/>
  <c r="AE9" i="455"/>
  <c r="AE12" i="455"/>
  <c r="AF10" i="455"/>
  <c r="AE49" i="455"/>
  <c r="AF69" i="445"/>
  <c r="AD82" i="452"/>
  <c r="AD53" i="452"/>
  <c r="AD55" i="452" s="1"/>
  <c r="AD73" i="452"/>
  <c r="AD52" i="452"/>
  <c r="AC75" i="455"/>
  <c r="AD73" i="454"/>
  <c r="AD82" i="454"/>
  <c r="AD52" i="454"/>
  <c r="AD53" i="454"/>
  <c r="AD75" i="444"/>
  <c r="AE73" i="444"/>
  <c r="AE53" i="444"/>
  <c r="AE55" i="444" s="1"/>
  <c r="AE52" i="444"/>
  <c r="AE66" i="444" s="1"/>
  <c r="AE82" i="444"/>
  <c r="AD82" i="450"/>
  <c r="AD73" i="450"/>
  <c r="AD53" i="450"/>
  <c r="AD55" i="450" s="1"/>
  <c r="AD52" i="450"/>
  <c r="AC75" i="454"/>
  <c r="AC76" i="454" s="1"/>
  <c r="AB77" i="454" s="1"/>
  <c r="AB69" i="454" s="1"/>
  <c r="AD82" i="446"/>
  <c r="AD73" i="446"/>
  <c r="AD53" i="446"/>
  <c r="AD55" i="446" s="1"/>
  <c r="AD52" i="446"/>
  <c r="AC75" i="451"/>
  <c r="AD82" i="448"/>
  <c r="AD73" i="448"/>
  <c r="AD53" i="448"/>
  <c r="AD55" i="448" s="1"/>
  <c r="AD52" i="448"/>
  <c r="AD66" i="448" s="1"/>
  <c r="AE11" i="453"/>
  <c r="AE54" i="453" s="1"/>
  <c r="AE9" i="453"/>
  <c r="AE12" i="453"/>
  <c r="AF10" i="453"/>
  <c r="AE49" i="453"/>
  <c r="AE11" i="451"/>
  <c r="AE54" i="451" s="1"/>
  <c r="AE9" i="451"/>
  <c r="AE12" i="451"/>
  <c r="AF10" i="451"/>
  <c r="AE49" i="451"/>
  <c r="AC75" i="450"/>
  <c r="AE12" i="452"/>
  <c r="AE9" i="452"/>
  <c r="AE11" i="452"/>
  <c r="AE54" i="452" s="1"/>
  <c r="AH54" i="452" s="1"/>
  <c r="B21" i="1" s="1"/>
  <c r="AE49" i="452"/>
  <c r="AH49" i="452" s="1"/>
  <c r="AE12" i="454"/>
  <c r="AE9" i="454"/>
  <c r="AE11" i="454"/>
  <c r="AE54" i="454" s="1"/>
  <c r="AH54" i="454" s="1"/>
  <c r="B23" i="1" s="1"/>
  <c r="AE49" i="454"/>
  <c r="AH49" i="454" s="1"/>
  <c r="AD82" i="455"/>
  <c r="AD73" i="455"/>
  <c r="AD53" i="455"/>
  <c r="AD52" i="455"/>
  <c r="AB76" i="453"/>
  <c r="AA77" i="453" s="1"/>
  <c r="AA69" i="453" s="1"/>
  <c r="AC76" i="444"/>
  <c r="AB77" i="444" s="1"/>
  <c r="AB69" i="444" s="1"/>
  <c r="Q81" i="444"/>
  <c r="R34" i="444"/>
  <c r="AD32" i="28"/>
  <c r="AG32" i="28" s="1"/>
  <c r="AD15" i="28"/>
  <c r="AI58" i="445" l="1"/>
  <c r="B56" i="445"/>
  <c r="C56" i="445" s="1"/>
  <c r="D56" i="445" s="1"/>
  <c r="E56" i="445" s="1"/>
  <c r="F56" i="445" s="1"/>
  <c r="G56" i="445" s="1"/>
  <c r="H56" i="445" s="1"/>
  <c r="I56" i="445" s="1"/>
  <c r="J56" i="445" s="1"/>
  <c r="K56" i="445" s="1"/>
  <c r="L56" i="445" s="1"/>
  <c r="M56" i="445" s="1"/>
  <c r="N56" i="445" s="1"/>
  <c r="O56" i="445" s="1"/>
  <c r="P56" i="445" s="1"/>
  <c r="Q56" i="445" s="1"/>
  <c r="R56" i="445" s="1"/>
  <c r="S56" i="445" s="1"/>
  <c r="T56" i="445" s="1"/>
  <c r="U56" i="445" s="1"/>
  <c r="V56" i="445" s="1"/>
  <c r="W56" i="445" s="1"/>
  <c r="X56" i="445" s="1"/>
  <c r="Y56" i="445" s="1"/>
  <c r="Z56" i="445" s="1"/>
  <c r="AA56" i="445" s="1"/>
  <c r="AB56" i="445" s="1"/>
  <c r="AC56" i="445" s="1"/>
  <c r="AF56" i="445" s="1"/>
  <c r="AF58" i="445" s="1"/>
  <c r="AK58" i="445" s="1"/>
  <c r="U16" i="15"/>
  <c r="AD55" i="455"/>
  <c r="AD75" i="450"/>
  <c r="AD76" i="450" s="1"/>
  <c r="AC77" i="450" s="1"/>
  <c r="AC69" i="450" s="1"/>
  <c r="AD75" i="452"/>
  <c r="AD76" i="452" s="1"/>
  <c r="AC77" i="452" s="1"/>
  <c r="AC69" i="452" s="1"/>
  <c r="AF12" i="455"/>
  <c r="AF11" i="455"/>
  <c r="AF54" i="455" s="1"/>
  <c r="AI54" i="455" s="1"/>
  <c r="B24" i="1" s="1"/>
  <c r="AF9" i="455"/>
  <c r="AF49" i="455"/>
  <c r="AI49" i="455" s="1"/>
  <c r="AF11" i="450"/>
  <c r="AF54" i="450" s="1"/>
  <c r="AI54" i="450" s="1"/>
  <c r="B19" i="1" s="1"/>
  <c r="AF9" i="450"/>
  <c r="AF12" i="450"/>
  <c r="AF49" i="450"/>
  <c r="AI49" i="450" s="1"/>
  <c r="AF82" i="444"/>
  <c r="AF73" i="444"/>
  <c r="AF53" i="444"/>
  <c r="AF52" i="444"/>
  <c r="AE55" i="447"/>
  <c r="AH55" i="447" s="1"/>
  <c r="AM55" i="447" s="1"/>
  <c r="AH53" i="447"/>
  <c r="I16" i="1" s="1"/>
  <c r="AF49" i="446"/>
  <c r="AI49" i="446" s="1"/>
  <c r="AF11" i="446"/>
  <c r="AF54" i="446" s="1"/>
  <c r="AI54" i="446" s="1"/>
  <c r="B15" i="1" s="1"/>
  <c r="B25" i="1" s="1"/>
  <c r="AF9" i="446"/>
  <c r="AF12" i="446"/>
  <c r="AF68" i="446"/>
  <c r="AN68" i="446" s="1"/>
  <c r="B68" i="447" s="1"/>
  <c r="C68" i="447" s="1"/>
  <c r="D68" i="447" s="1"/>
  <c r="E68" i="447" s="1"/>
  <c r="F68" i="447" s="1"/>
  <c r="G68" i="447" s="1"/>
  <c r="H68" i="447" s="1"/>
  <c r="I68" i="447" s="1"/>
  <c r="J68" i="447" s="1"/>
  <c r="K68" i="447" s="1"/>
  <c r="L68" i="447" s="1"/>
  <c r="M68" i="447" s="1"/>
  <c r="N68" i="447" s="1"/>
  <c r="O68" i="447" s="1"/>
  <c r="P68" i="447" s="1"/>
  <c r="Q68" i="447" s="1"/>
  <c r="R68" i="447" s="1"/>
  <c r="S68" i="447" s="1"/>
  <c r="T68" i="447" s="1"/>
  <c r="U68" i="447" s="1"/>
  <c r="V68" i="447" s="1"/>
  <c r="W68" i="447" s="1"/>
  <c r="X68" i="447" s="1"/>
  <c r="Y68" i="447" s="1"/>
  <c r="Z68" i="447" s="1"/>
  <c r="AA68" i="447" s="1"/>
  <c r="AB68" i="447" s="1"/>
  <c r="AC68" i="447" s="1"/>
  <c r="AD68" i="447" s="1"/>
  <c r="AE68" i="447" s="1"/>
  <c r="AM68" i="447" s="1"/>
  <c r="B68" i="448" s="1"/>
  <c r="C68" i="448" s="1"/>
  <c r="D68" i="448" s="1"/>
  <c r="E68" i="448" s="1"/>
  <c r="F68" i="448" s="1"/>
  <c r="G68" i="448" s="1"/>
  <c r="H68" i="448" s="1"/>
  <c r="I68" i="448" s="1"/>
  <c r="J68" i="448" s="1"/>
  <c r="K68" i="448" s="1"/>
  <c r="L68" i="448" s="1"/>
  <c r="M68" i="448" s="1"/>
  <c r="N68" i="448" s="1"/>
  <c r="O68" i="448" s="1"/>
  <c r="P68" i="448" s="1"/>
  <c r="Q68" i="448" s="1"/>
  <c r="R68" i="448" s="1"/>
  <c r="S68" i="448" s="1"/>
  <c r="T68" i="448" s="1"/>
  <c r="U68" i="448" s="1"/>
  <c r="V68" i="448" s="1"/>
  <c r="W68" i="448" s="1"/>
  <c r="X68" i="448" s="1"/>
  <c r="Y68" i="448" s="1"/>
  <c r="Z68" i="448" s="1"/>
  <c r="AA68" i="448" s="1"/>
  <c r="AB68" i="448" s="1"/>
  <c r="AC68" i="448" s="1"/>
  <c r="AD68" i="448" s="1"/>
  <c r="AE68" i="448" s="1"/>
  <c r="AF68" i="448" s="1"/>
  <c r="AN68" i="448" s="1"/>
  <c r="B68" i="449" s="1"/>
  <c r="C68" i="449" s="1"/>
  <c r="D68" i="449" s="1"/>
  <c r="E68" i="449" s="1"/>
  <c r="F68" i="449" s="1"/>
  <c r="G68" i="449" s="1"/>
  <c r="H68" i="449" s="1"/>
  <c r="I68" i="449" s="1"/>
  <c r="J68" i="449" s="1"/>
  <c r="K68" i="449" s="1"/>
  <c r="L68" i="449" s="1"/>
  <c r="M68" i="449" s="1"/>
  <c r="N68" i="449" s="1"/>
  <c r="O68" i="449" s="1"/>
  <c r="P68" i="449" s="1"/>
  <c r="Q68" i="449" s="1"/>
  <c r="R68" i="449" s="1"/>
  <c r="S68" i="449" s="1"/>
  <c r="T68" i="449" s="1"/>
  <c r="U68" i="449" s="1"/>
  <c r="V68" i="449" s="1"/>
  <c r="W68" i="449" s="1"/>
  <c r="X68" i="449" s="1"/>
  <c r="Y68" i="449" s="1"/>
  <c r="Z68" i="449" s="1"/>
  <c r="AA68" i="449" s="1"/>
  <c r="AB68" i="449" s="1"/>
  <c r="AC68" i="449" s="1"/>
  <c r="AD68" i="449" s="1"/>
  <c r="AE68" i="449" s="1"/>
  <c r="AM68" i="449" s="1"/>
  <c r="B68" i="450" s="1"/>
  <c r="C68" i="450" s="1"/>
  <c r="D68" i="450" s="1"/>
  <c r="E68" i="450" s="1"/>
  <c r="F68" i="450" s="1"/>
  <c r="G68" i="450" s="1"/>
  <c r="H68" i="450" s="1"/>
  <c r="I68" i="450" s="1"/>
  <c r="J68" i="450" s="1"/>
  <c r="K68" i="450" s="1"/>
  <c r="L68" i="450" s="1"/>
  <c r="M68" i="450" s="1"/>
  <c r="N68" i="450" s="1"/>
  <c r="O68" i="450" s="1"/>
  <c r="P68" i="450" s="1"/>
  <c r="Q68" i="450" s="1"/>
  <c r="R68" i="450" s="1"/>
  <c r="S68" i="450" s="1"/>
  <c r="T68" i="450" s="1"/>
  <c r="U68" i="450" s="1"/>
  <c r="V68" i="450" s="1"/>
  <c r="W68" i="450" s="1"/>
  <c r="X68" i="450" s="1"/>
  <c r="Y68" i="450" s="1"/>
  <c r="Z68" i="450" s="1"/>
  <c r="AA68" i="450" s="1"/>
  <c r="AB68" i="450" s="1"/>
  <c r="AC68" i="450" s="1"/>
  <c r="AD68" i="450" s="1"/>
  <c r="AE68" i="450" s="1"/>
  <c r="AF68" i="450" s="1"/>
  <c r="AN68" i="450" s="1"/>
  <c r="B68" i="451" s="1"/>
  <c r="C68" i="451" s="1"/>
  <c r="D68" i="451" s="1"/>
  <c r="E68" i="451" s="1"/>
  <c r="F68" i="451" s="1"/>
  <c r="G68" i="451" s="1"/>
  <c r="H68" i="451" s="1"/>
  <c r="I68" i="451" s="1"/>
  <c r="J68" i="451" s="1"/>
  <c r="K68" i="451" s="1"/>
  <c r="L68" i="451" s="1"/>
  <c r="M68" i="451" s="1"/>
  <c r="N68" i="451" s="1"/>
  <c r="O68" i="451" s="1"/>
  <c r="P68" i="451" s="1"/>
  <c r="Q68" i="451" s="1"/>
  <c r="R68" i="451" s="1"/>
  <c r="S68" i="451" s="1"/>
  <c r="T68" i="451" s="1"/>
  <c r="U68" i="451" s="1"/>
  <c r="V68" i="451" s="1"/>
  <c r="W68" i="451" s="1"/>
  <c r="X68" i="451" s="1"/>
  <c r="Y68" i="451" s="1"/>
  <c r="Z68" i="451" s="1"/>
  <c r="AA68" i="451" s="1"/>
  <c r="AB68" i="451" s="1"/>
  <c r="AC68" i="451" s="1"/>
  <c r="AD68" i="451" s="1"/>
  <c r="AE68" i="451" s="1"/>
  <c r="AF68" i="451" s="1"/>
  <c r="AN68" i="451" s="1"/>
  <c r="B68" i="452" s="1"/>
  <c r="C68" i="452" s="1"/>
  <c r="D68" i="452" s="1"/>
  <c r="E68" i="452" s="1"/>
  <c r="F68" i="452" s="1"/>
  <c r="G68" i="452" s="1"/>
  <c r="H68" i="452" s="1"/>
  <c r="I68" i="452" s="1"/>
  <c r="J68" i="452" s="1"/>
  <c r="K68" i="452" s="1"/>
  <c r="L68" i="452" s="1"/>
  <c r="M68" i="452" s="1"/>
  <c r="N68" i="452" s="1"/>
  <c r="O68" i="452" s="1"/>
  <c r="P68" i="452" s="1"/>
  <c r="Q68" i="452" s="1"/>
  <c r="R68" i="452" s="1"/>
  <c r="S68" i="452" s="1"/>
  <c r="T68" i="452" s="1"/>
  <c r="U68" i="452" s="1"/>
  <c r="V68" i="452" s="1"/>
  <c r="W68" i="452" s="1"/>
  <c r="X68" i="452" s="1"/>
  <c r="Y68" i="452" s="1"/>
  <c r="Z68" i="452" s="1"/>
  <c r="AA68" i="452" s="1"/>
  <c r="AB68" i="452" s="1"/>
  <c r="AC68" i="452" s="1"/>
  <c r="AD68" i="452" s="1"/>
  <c r="AE68" i="452" s="1"/>
  <c r="AM68" i="452" s="1"/>
  <c r="B68" i="453" s="1"/>
  <c r="C68" i="453" s="1"/>
  <c r="D68" i="453" s="1"/>
  <c r="E68" i="453" s="1"/>
  <c r="F68" i="453" s="1"/>
  <c r="G68" i="453" s="1"/>
  <c r="H68" i="453" s="1"/>
  <c r="I68" i="453" s="1"/>
  <c r="J68" i="453" s="1"/>
  <c r="K68" i="453" s="1"/>
  <c r="L68" i="453" s="1"/>
  <c r="M68" i="453" s="1"/>
  <c r="N68" i="453" s="1"/>
  <c r="O68" i="453" s="1"/>
  <c r="P68" i="453" s="1"/>
  <c r="Q68" i="453" s="1"/>
  <c r="R68" i="453" s="1"/>
  <c r="S68" i="453" s="1"/>
  <c r="T68" i="453" s="1"/>
  <c r="U68" i="453" s="1"/>
  <c r="V68" i="453" s="1"/>
  <c r="W68" i="453" s="1"/>
  <c r="X68" i="453" s="1"/>
  <c r="Y68" i="453" s="1"/>
  <c r="Z68" i="453" s="1"/>
  <c r="AA68" i="453" s="1"/>
  <c r="AB68" i="453" s="1"/>
  <c r="AC68" i="453" s="1"/>
  <c r="AD68" i="453" s="1"/>
  <c r="AE68" i="453" s="1"/>
  <c r="AF68" i="453" s="1"/>
  <c r="AN68" i="453" s="1"/>
  <c r="B68" i="454" s="1"/>
  <c r="C68" i="454" s="1"/>
  <c r="D68" i="454" s="1"/>
  <c r="E68" i="454" s="1"/>
  <c r="F68" i="454" s="1"/>
  <c r="G68" i="454" s="1"/>
  <c r="H68" i="454" s="1"/>
  <c r="I68" i="454" s="1"/>
  <c r="J68" i="454" s="1"/>
  <c r="K68" i="454" s="1"/>
  <c r="L68" i="454" s="1"/>
  <c r="M68" i="454" s="1"/>
  <c r="N68" i="454" s="1"/>
  <c r="O68" i="454" s="1"/>
  <c r="P68" i="454" s="1"/>
  <c r="Q68" i="454" s="1"/>
  <c r="R68" i="454" s="1"/>
  <c r="S68" i="454" s="1"/>
  <c r="T68" i="454" s="1"/>
  <c r="U68" i="454" s="1"/>
  <c r="V68" i="454" s="1"/>
  <c r="W68" i="454" s="1"/>
  <c r="X68" i="454" s="1"/>
  <c r="Y68" i="454" s="1"/>
  <c r="Z68" i="454" s="1"/>
  <c r="AA68" i="454" s="1"/>
  <c r="AB68" i="454" s="1"/>
  <c r="AC68" i="454" s="1"/>
  <c r="AD68" i="454" s="1"/>
  <c r="AE68" i="454" s="1"/>
  <c r="AM68" i="454" s="1"/>
  <c r="B68" i="455" s="1"/>
  <c r="C68" i="455" s="1"/>
  <c r="D68" i="455" s="1"/>
  <c r="E68" i="455" s="1"/>
  <c r="F68" i="455" s="1"/>
  <c r="G68" i="455" s="1"/>
  <c r="H68" i="455" s="1"/>
  <c r="I68" i="455" s="1"/>
  <c r="J68" i="455" s="1"/>
  <c r="K68" i="455" s="1"/>
  <c r="L68" i="455" s="1"/>
  <c r="M68" i="455" s="1"/>
  <c r="N68" i="455" s="1"/>
  <c r="O68" i="455" s="1"/>
  <c r="P68" i="455" s="1"/>
  <c r="Q68" i="455" s="1"/>
  <c r="R68" i="455" s="1"/>
  <c r="S68" i="455" s="1"/>
  <c r="T68" i="455" s="1"/>
  <c r="U68" i="455" s="1"/>
  <c r="V68" i="455" s="1"/>
  <c r="W68" i="455" s="1"/>
  <c r="X68" i="455" s="1"/>
  <c r="Y68" i="455" s="1"/>
  <c r="Z68" i="455" s="1"/>
  <c r="AA68" i="455" s="1"/>
  <c r="AB68" i="455" s="1"/>
  <c r="AC68" i="455" s="1"/>
  <c r="AD68" i="455" s="1"/>
  <c r="AE68" i="455" s="1"/>
  <c r="AF68" i="455" s="1"/>
  <c r="AN68" i="455" s="1"/>
  <c r="AE75" i="449"/>
  <c r="AE77" i="449" s="1"/>
  <c r="AH73" i="449"/>
  <c r="AE52" i="452"/>
  <c r="AE73" i="452"/>
  <c r="AE82" i="452"/>
  <c r="AE53" i="452"/>
  <c r="AF11" i="451"/>
  <c r="AF54" i="451" s="1"/>
  <c r="AI54" i="451" s="1"/>
  <c r="B20" i="1" s="1"/>
  <c r="AF9" i="451"/>
  <c r="AF12" i="451"/>
  <c r="AF49" i="451"/>
  <c r="AI49" i="451" s="1"/>
  <c r="AE82" i="453"/>
  <c r="AE73" i="453"/>
  <c r="AE53" i="453"/>
  <c r="AE55" i="453" s="1"/>
  <c r="AE52" i="453"/>
  <c r="AE66" i="453" s="1"/>
  <c r="AD75" i="448"/>
  <c r="AC76" i="451"/>
  <c r="AB77" i="451" s="1"/>
  <c r="AB69" i="451" s="1"/>
  <c r="AD75" i="446"/>
  <c r="AD76" i="446" s="1"/>
  <c r="AC77" i="446" s="1"/>
  <c r="AC69" i="446" s="1"/>
  <c r="AD76" i="444"/>
  <c r="AC77" i="444" s="1"/>
  <c r="AC69" i="444" s="1"/>
  <c r="AC76" i="455"/>
  <c r="AB77" i="455" s="1"/>
  <c r="AB69" i="455" s="1"/>
  <c r="AE82" i="455"/>
  <c r="AE73" i="455"/>
  <c r="AE53" i="455"/>
  <c r="AE55" i="455" s="1"/>
  <c r="AE52" i="455"/>
  <c r="AE73" i="450"/>
  <c r="AE53" i="450"/>
  <c r="AE55" i="450" s="1"/>
  <c r="AE52" i="450"/>
  <c r="AE66" i="450" s="1"/>
  <c r="AE82" i="450"/>
  <c r="AE55" i="449"/>
  <c r="AH55" i="449" s="1"/>
  <c r="AM55" i="449" s="1"/>
  <c r="AH53" i="449"/>
  <c r="I18" i="1" s="1"/>
  <c r="AF11" i="448"/>
  <c r="AF54" i="448" s="1"/>
  <c r="AI54" i="448" s="1"/>
  <c r="B17" i="1" s="1"/>
  <c r="AF9" i="448"/>
  <c r="AF12" i="448"/>
  <c r="AF49" i="448"/>
  <c r="AI49" i="448" s="1"/>
  <c r="AF11" i="453"/>
  <c r="AF54" i="453" s="1"/>
  <c r="AI54" i="453" s="1"/>
  <c r="B22" i="1" s="1"/>
  <c r="AF9" i="453"/>
  <c r="AF12" i="453"/>
  <c r="AF49" i="453"/>
  <c r="AI49" i="453" s="1"/>
  <c r="AD75" i="455"/>
  <c r="S34" i="444"/>
  <c r="R81" i="444"/>
  <c r="AE73" i="454"/>
  <c r="AE82" i="454"/>
  <c r="AE52" i="454"/>
  <c r="AE53" i="454"/>
  <c r="AE55" i="454" s="1"/>
  <c r="AC76" i="450"/>
  <c r="AB77" i="450" s="1"/>
  <c r="AB69" i="450" s="1"/>
  <c r="AE73" i="451"/>
  <c r="AE82" i="451"/>
  <c r="AE52" i="451"/>
  <c r="AE53" i="451"/>
  <c r="AE55" i="451" s="1"/>
  <c r="AE75" i="444"/>
  <c r="AE76" i="444" s="1"/>
  <c r="AD77" i="444" s="1"/>
  <c r="AD69" i="444" s="1"/>
  <c r="AD75" i="454"/>
  <c r="AD76" i="454" s="1"/>
  <c r="AC77" i="454" s="1"/>
  <c r="AC69" i="454" s="1"/>
  <c r="AI82" i="447"/>
  <c r="AH82" i="447"/>
  <c r="N79" i="444"/>
  <c r="O70" i="444"/>
  <c r="AD75" i="453"/>
  <c r="AD76" i="453" s="1"/>
  <c r="AC77" i="453" s="1"/>
  <c r="AC69" i="453" s="1"/>
  <c r="AE82" i="448"/>
  <c r="AE73" i="448"/>
  <c r="AE53" i="448"/>
  <c r="AE55" i="448" s="1"/>
  <c r="AE52" i="448"/>
  <c r="AC76" i="453"/>
  <c r="AB77" i="453" s="1"/>
  <c r="AB69" i="453" s="1"/>
  <c r="AD55" i="454"/>
  <c r="AE75" i="447"/>
  <c r="AE77" i="447" s="1"/>
  <c r="AE69" i="447" s="1"/>
  <c r="AH73" i="447"/>
  <c r="AE73" i="446"/>
  <c r="AE53" i="446"/>
  <c r="AE55" i="446" s="1"/>
  <c r="AE52" i="446"/>
  <c r="AE82" i="446"/>
  <c r="AH82" i="449"/>
  <c r="AI82" i="449"/>
  <c r="AD75" i="451"/>
  <c r="AD76" i="451" s="1"/>
  <c r="AC77" i="451" s="1"/>
  <c r="AC69" i="451" s="1"/>
  <c r="T18" i="15" l="1"/>
  <c r="AL55" i="448"/>
  <c r="F18" i="15"/>
  <c r="O18" i="15"/>
  <c r="B56" i="446"/>
  <c r="C56" i="446" s="1"/>
  <c r="D56" i="446" s="1"/>
  <c r="E56" i="446" s="1"/>
  <c r="F56" i="446" s="1"/>
  <c r="G56" i="446" s="1"/>
  <c r="H56" i="446" s="1"/>
  <c r="I56" i="446" s="1"/>
  <c r="J56" i="446" s="1"/>
  <c r="K56" i="446" s="1"/>
  <c r="L56" i="446" s="1"/>
  <c r="M56" i="446" s="1"/>
  <c r="N56" i="446" s="1"/>
  <c r="O56" i="446" s="1"/>
  <c r="P56" i="446" s="1"/>
  <c r="Q56" i="446" s="1"/>
  <c r="R56" i="446" s="1"/>
  <c r="S56" i="446" s="1"/>
  <c r="T56" i="446" s="1"/>
  <c r="U56" i="446" s="1"/>
  <c r="V56" i="446" s="1"/>
  <c r="W56" i="446" s="1"/>
  <c r="X56" i="446" s="1"/>
  <c r="Y56" i="446" s="1"/>
  <c r="Z56" i="446" s="1"/>
  <c r="AA56" i="446" s="1"/>
  <c r="AB56" i="446" s="1"/>
  <c r="AC56" i="446" s="1"/>
  <c r="AD56" i="446" s="1"/>
  <c r="AE56" i="446" s="1"/>
  <c r="AF56" i="446" s="1"/>
  <c r="AI56" i="446" s="1"/>
  <c r="AI58" i="446" s="1"/>
  <c r="AN58" i="446" s="1"/>
  <c r="AL58" i="446"/>
  <c r="L18" i="1"/>
  <c r="AJ67" i="449" s="1"/>
  <c r="R18" i="1"/>
  <c r="K18" i="1"/>
  <c r="AJ84" i="449" s="1"/>
  <c r="E20" i="15"/>
  <c r="T20" i="15"/>
  <c r="AA20" i="15"/>
  <c r="AA18" i="15"/>
  <c r="AL55" i="450"/>
  <c r="F20" i="15"/>
  <c r="O20" i="15"/>
  <c r="L16" i="1"/>
  <c r="AJ67" i="447" s="1"/>
  <c r="K16" i="1"/>
  <c r="AJ84" i="447" s="1"/>
  <c r="R16" i="1"/>
  <c r="E18" i="15"/>
  <c r="C18" i="15" s="1"/>
  <c r="AE76" i="447"/>
  <c r="AD77" i="447" s="1"/>
  <c r="AD69" i="447" s="1"/>
  <c r="AH69" i="447" s="1"/>
  <c r="AH53" i="454"/>
  <c r="I23" i="1" s="1"/>
  <c r="AE75" i="448"/>
  <c r="AE76" i="448" s="1"/>
  <c r="AD77" i="448" s="1"/>
  <c r="AD69" i="448" s="1"/>
  <c r="AH55" i="454"/>
  <c r="AM55" i="454" s="1"/>
  <c r="S81" i="444"/>
  <c r="T34" i="444"/>
  <c r="AE75" i="453"/>
  <c r="AE76" i="453" s="1"/>
  <c r="AD77" i="453" s="1"/>
  <c r="AD69" i="453" s="1"/>
  <c r="AE55" i="452"/>
  <c r="AH55" i="452" s="1"/>
  <c r="AM55" i="452" s="1"/>
  <c r="AH53" i="452"/>
  <c r="I21" i="1" s="1"/>
  <c r="AF55" i="444"/>
  <c r="AI55" i="444" s="1"/>
  <c r="AN55" i="444" s="1"/>
  <c r="AI53" i="444"/>
  <c r="I13" i="1" s="1"/>
  <c r="AF73" i="450"/>
  <c r="AF82" i="450"/>
  <c r="AF53" i="450"/>
  <c r="AF52" i="450"/>
  <c r="AF66" i="450" s="1"/>
  <c r="AF82" i="455"/>
  <c r="AF73" i="455"/>
  <c r="AF53" i="455"/>
  <c r="AF55" i="455" s="1"/>
  <c r="AI55" i="455" s="1"/>
  <c r="AN55" i="455" s="1"/>
  <c r="AF52" i="455"/>
  <c r="AF66" i="455" s="1"/>
  <c r="O79" i="444"/>
  <c r="P70" i="444"/>
  <c r="AF73" i="453"/>
  <c r="AF53" i="453"/>
  <c r="AF82" i="453"/>
  <c r="AF52" i="453"/>
  <c r="AI82" i="452"/>
  <c r="AH82" i="452"/>
  <c r="AF75" i="444"/>
  <c r="AF77" i="444" s="1"/>
  <c r="AI73" i="444"/>
  <c r="AI53" i="455"/>
  <c r="I24" i="1" s="1"/>
  <c r="AH82" i="454"/>
  <c r="AI82" i="454"/>
  <c r="AE75" i="450"/>
  <c r="AE76" i="450" s="1"/>
  <c r="AD77" i="450" s="1"/>
  <c r="AD69" i="450" s="1"/>
  <c r="AE75" i="455"/>
  <c r="AE76" i="455" s="1"/>
  <c r="AD77" i="455" s="1"/>
  <c r="AD69" i="455" s="1"/>
  <c r="AE75" i="452"/>
  <c r="AE77" i="452" s="1"/>
  <c r="AH73" i="452"/>
  <c r="AE76" i="449"/>
  <c r="AD77" i="449" s="1"/>
  <c r="AD69" i="449" s="1"/>
  <c r="AF73" i="446"/>
  <c r="AF53" i="446"/>
  <c r="AF52" i="446"/>
  <c r="AF82" i="446"/>
  <c r="AJ82" i="444"/>
  <c r="AI82" i="444"/>
  <c r="AE75" i="446"/>
  <c r="AI73" i="447"/>
  <c r="AH77" i="447"/>
  <c r="AE75" i="451"/>
  <c r="AE76" i="451" s="1"/>
  <c r="AD77" i="451" s="1"/>
  <c r="AD69" i="451" s="1"/>
  <c r="AE75" i="454"/>
  <c r="AE77" i="454" s="1"/>
  <c r="AE69" i="454" s="1"/>
  <c r="AH73" i="454"/>
  <c r="AD76" i="455"/>
  <c r="AC77" i="455" s="1"/>
  <c r="AC69" i="455" s="1"/>
  <c r="AF73" i="448"/>
  <c r="AF53" i="448"/>
  <c r="AF52" i="448"/>
  <c r="AF82" i="448"/>
  <c r="AD76" i="448"/>
  <c r="AC77" i="448" s="1"/>
  <c r="AC69" i="448" s="1"/>
  <c r="AF73" i="451"/>
  <c r="AF53" i="451"/>
  <c r="AF82" i="451"/>
  <c r="AF52" i="451"/>
  <c r="AE69" i="449"/>
  <c r="AL55" i="453" l="1"/>
  <c r="F23" i="15"/>
  <c r="O23" i="15"/>
  <c r="AA25" i="15"/>
  <c r="AN73" i="444"/>
  <c r="AI73" i="445" s="1"/>
  <c r="AK73" i="445" s="1"/>
  <c r="AL73" i="446" s="1"/>
  <c r="T15" i="15"/>
  <c r="U18" i="15"/>
  <c r="C20" i="15"/>
  <c r="T23" i="15"/>
  <c r="F26" i="15"/>
  <c r="O26" i="15"/>
  <c r="AI55" i="445"/>
  <c r="F15" i="15"/>
  <c r="O15" i="15"/>
  <c r="AL55" i="455"/>
  <c r="O25" i="15"/>
  <c r="F25" i="15"/>
  <c r="K24" i="1"/>
  <c r="AK84" i="455" s="1"/>
  <c r="E26" i="15"/>
  <c r="R24" i="1"/>
  <c r="L24" i="1"/>
  <c r="AK67" i="455" s="1"/>
  <c r="R23" i="1"/>
  <c r="K23" i="1"/>
  <c r="AJ84" i="454" s="1"/>
  <c r="E25" i="15"/>
  <c r="C25" i="15" s="1"/>
  <c r="L23" i="1"/>
  <c r="AJ67" i="454" s="1"/>
  <c r="O13" i="1"/>
  <c r="O14" i="1" s="1"/>
  <c r="O15" i="1" s="1"/>
  <c r="O16" i="1" s="1"/>
  <c r="E15" i="15"/>
  <c r="L13" i="1"/>
  <c r="K13" i="1"/>
  <c r="R13" i="1"/>
  <c r="T25" i="15"/>
  <c r="AN82" i="444"/>
  <c r="AI82" i="445" s="1"/>
  <c r="AK82" i="445" s="1"/>
  <c r="AL82" i="446" s="1"/>
  <c r="AA15" i="15"/>
  <c r="AA23" i="15"/>
  <c r="K21" i="1"/>
  <c r="AJ84" i="452" s="1"/>
  <c r="R21" i="1"/>
  <c r="L21" i="1"/>
  <c r="AJ67" i="452" s="1"/>
  <c r="E23" i="15"/>
  <c r="C23" i="15" s="1"/>
  <c r="AK58" i="447"/>
  <c r="B56" i="447"/>
  <c r="C56" i="447" s="1"/>
  <c r="D56" i="447" s="1"/>
  <c r="E56" i="447" s="1"/>
  <c r="F56" i="447" s="1"/>
  <c r="G56" i="447" s="1"/>
  <c r="H56" i="447" s="1"/>
  <c r="I56" i="447" s="1"/>
  <c r="J56" i="447" s="1"/>
  <c r="K56" i="447" s="1"/>
  <c r="L56" i="447" s="1"/>
  <c r="M56" i="447" s="1"/>
  <c r="N56" i="447" s="1"/>
  <c r="O56" i="447" s="1"/>
  <c r="P56" i="447" s="1"/>
  <c r="Q56" i="447" s="1"/>
  <c r="R56" i="447" s="1"/>
  <c r="S56" i="447" s="1"/>
  <c r="T56" i="447" s="1"/>
  <c r="U56" i="447" s="1"/>
  <c r="V56" i="447" s="1"/>
  <c r="W56" i="447" s="1"/>
  <c r="X56" i="447" s="1"/>
  <c r="Y56" i="447" s="1"/>
  <c r="Z56" i="447" s="1"/>
  <c r="AA56" i="447" s="1"/>
  <c r="AB56" i="447" s="1"/>
  <c r="AC56" i="447" s="1"/>
  <c r="AD56" i="447" s="1"/>
  <c r="AE56" i="447" s="1"/>
  <c r="AH56" i="447" s="1"/>
  <c r="AH58" i="447" s="1"/>
  <c r="AM58" i="447" s="1"/>
  <c r="AE76" i="454"/>
  <c r="AD77" i="454" s="1"/>
  <c r="AD69" i="454" s="1"/>
  <c r="AH69" i="454" s="1"/>
  <c r="AF55" i="451"/>
  <c r="AI55" i="451" s="1"/>
  <c r="AN55" i="451" s="1"/>
  <c r="AI53" i="451"/>
  <c r="I20" i="1" s="1"/>
  <c r="AF75" i="448"/>
  <c r="AF77" i="448" s="1"/>
  <c r="AF69" i="448" s="1"/>
  <c r="AI73" i="448"/>
  <c r="AF55" i="446"/>
  <c r="AI55" i="446" s="1"/>
  <c r="AN55" i="446" s="1"/>
  <c r="AI53" i="446"/>
  <c r="I15" i="1" s="1"/>
  <c r="AE76" i="452"/>
  <c r="AD77" i="452" s="1"/>
  <c r="AD69" i="452" s="1"/>
  <c r="AH77" i="449"/>
  <c r="AF75" i="453"/>
  <c r="AF77" i="453" s="1"/>
  <c r="AF69" i="453" s="1"/>
  <c r="AI73" i="453"/>
  <c r="AJ82" i="455"/>
  <c r="AI82" i="455"/>
  <c r="AI82" i="450"/>
  <c r="AJ82" i="450"/>
  <c r="T81" i="444"/>
  <c r="U34" i="444"/>
  <c r="AF75" i="451"/>
  <c r="AF77" i="451" s="1"/>
  <c r="AF69" i="451" s="1"/>
  <c r="AI73" i="451"/>
  <c r="AJ82" i="448"/>
  <c r="AI82" i="448"/>
  <c r="AF75" i="446"/>
  <c r="AF77" i="446" s="1"/>
  <c r="AF69" i="446" s="1"/>
  <c r="AI73" i="446"/>
  <c r="AF76" i="444"/>
  <c r="AE77" i="444" s="1"/>
  <c r="AE69" i="444" s="1"/>
  <c r="AI73" i="449"/>
  <c r="P79" i="444"/>
  <c r="Q70" i="444"/>
  <c r="AF75" i="450"/>
  <c r="AF77" i="450" s="1"/>
  <c r="AF69" i="450" s="1"/>
  <c r="AI73" i="450"/>
  <c r="AH69" i="449"/>
  <c r="AJ82" i="446"/>
  <c r="AI82" i="446"/>
  <c r="AI73" i="452"/>
  <c r="AI82" i="453"/>
  <c r="AJ82" i="453"/>
  <c r="AJ82" i="451"/>
  <c r="AI82" i="451"/>
  <c r="AF55" i="448"/>
  <c r="AI55" i="448" s="1"/>
  <c r="AN55" i="448" s="1"/>
  <c r="AI53" i="448"/>
  <c r="I17" i="1" s="1"/>
  <c r="AI73" i="454"/>
  <c r="AE76" i="446"/>
  <c r="AD77" i="446" s="1"/>
  <c r="AD69" i="446" s="1"/>
  <c r="AE69" i="452"/>
  <c r="AF69" i="444"/>
  <c r="AF55" i="453"/>
  <c r="AI55" i="453" s="1"/>
  <c r="AN55" i="453" s="1"/>
  <c r="AI53" i="453"/>
  <c r="I22" i="1" s="1"/>
  <c r="AF75" i="455"/>
  <c r="AF77" i="455" s="1"/>
  <c r="AF69" i="455" s="1"/>
  <c r="AI73" i="455"/>
  <c r="AF55" i="450"/>
  <c r="AI55" i="450" s="1"/>
  <c r="AN55" i="450" s="1"/>
  <c r="AI53" i="450"/>
  <c r="I19" i="1" s="1"/>
  <c r="U25" i="15" l="1"/>
  <c r="L19" i="1"/>
  <c r="AK67" i="450" s="1"/>
  <c r="R19" i="1"/>
  <c r="K19" i="1"/>
  <c r="AK84" i="450" s="1"/>
  <c r="E21" i="15"/>
  <c r="E24" i="15"/>
  <c r="C24" i="15" s="1"/>
  <c r="K22" i="1"/>
  <c r="AK84" i="453" s="1"/>
  <c r="R22" i="1"/>
  <c r="L22" i="1"/>
  <c r="AK67" i="453" s="1"/>
  <c r="AK55" i="447"/>
  <c r="F17" i="15"/>
  <c r="AN55" i="452" s="1"/>
  <c r="O17" i="15"/>
  <c r="I25" i="1"/>
  <c r="B36" i="1" s="1"/>
  <c r="E36" i="1" s="1"/>
  <c r="G12" i="15" s="1"/>
  <c r="AL55" i="451"/>
  <c r="F21" i="15"/>
  <c r="O21" i="15"/>
  <c r="K17" i="1"/>
  <c r="AK84" i="448" s="1"/>
  <c r="L17" i="1"/>
  <c r="AK67" i="448" s="1"/>
  <c r="E19" i="15"/>
  <c r="R17" i="1"/>
  <c r="AN82" i="446"/>
  <c r="AK82" i="447" s="1"/>
  <c r="AM82" i="447" s="1"/>
  <c r="AL82" i="448" s="1"/>
  <c r="AN82" i="448" s="1"/>
  <c r="AK82" i="449" s="1"/>
  <c r="AM82" i="449" s="1"/>
  <c r="AL82" i="450" s="1"/>
  <c r="AN82" i="450" s="1"/>
  <c r="AL82" i="451" s="1"/>
  <c r="AN82" i="451" s="1"/>
  <c r="AK82" i="452" s="1"/>
  <c r="AM82" i="452" s="1"/>
  <c r="AL82" i="453" s="1"/>
  <c r="AN82" i="453" s="1"/>
  <c r="AK82" i="454" s="1"/>
  <c r="AM82" i="454" s="1"/>
  <c r="AL82" i="455" s="1"/>
  <c r="AN82" i="455" s="1"/>
  <c r="AA17" i="15"/>
  <c r="AA31" i="15" s="1"/>
  <c r="AL55" i="445"/>
  <c r="AO55" i="444"/>
  <c r="C15" i="15"/>
  <c r="AA24" i="15"/>
  <c r="AA21" i="15"/>
  <c r="AK55" i="454"/>
  <c r="F24" i="15"/>
  <c r="O24" i="15"/>
  <c r="T22" i="15"/>
  <c r="AA26" i="15"/>
  <c r="L20" i="1"/>
  <c r="AK67" i="451" s="1"/>
  <c r="E22" i="15"/>
  <c r="K20" i="1"/>
  <c r="AK84" i="451" s="1"/>
  <c r="R20" i="1"/>
  <c r="O17" i="1"/>
  <c r="O18" i="1" s="1"/>
  <c r="O19" i="1" s="1"/>
  <c r="O20" i="1" s="1"/>
  <c r="O21" i="1" s="1"/>
  <c r="O22" i="1" s="1"/>
  <c r="O23" i="1" s="1"/>
  <c r="O24" i="1" s="1"/>
  <c r="O31" i="15"/>
  <c r="T26" i="15"/>
  <c r="AK55" i="449"/>
  <c r="F19" i="15"/>
  <c r="AO55" i="455" s="1"/>
  <c r="O19" i="15"/>
  <c r="T21" i="15"/>
  <c r="T32" i="15" s="1"/>
  <c r="AN73" i="446"/>
  <c r="AK73" i="447" s="1"/>
  <c r="AM73" i="447" s="1"/>
  <c r="AL73" i="448" s="1"/>
  <c r="AN73" i="448" s="1"/>
  <c r="AK73" i="449" s="1"/>
  <c r="AM73" i="449" s="1"/>
  <c r="AL73" i="450" s="1"/>
  <c r="AN73" i="450" s="1"/>
  <c r="AL73" i="451" s="1"/>
  <c r="AN73" i="451" s="1"/>
  <c r="AK73" i="452" s="1"/>
  <c r="AM73" i="452" s="1"/>
  <c r="AL73" i="453" s="1"/>
  <c r="AN73" i="453" s="1"/>
  <c r="AK73" i="454" s="1"/>
  <c r="AM73" i="454" s="1"/>
  <c r="AL73" i="455" s="1"/>
  <c r="AN73" i="455" s="1"/>
  <c r="T17" i="15"/>
  <c r="T27" i="15" s="1"/>
  <c r="AK55" i="452"/>
  <c r="O22" i="15"/>
  <c r="O27" i="15" s="1"/>
  <c r="O28" i="15" s="1"/>
  <c r="O29" i="15" s="1"/>
  <c r="F22" i="15"/>
  <c r="B56" i="448"/>
  <c r="C56" i="448" s="1"/>
  <c r="D56" i="448" s="1"/>
  <c r="E56" i="448" s="1"/>
  <c r="F56" i="448" s="1"/>
  <c r="G56" i="448" s="1"/>
  <c r="H56" i="448" s="1"/>
  <c r="I56" i="448" s="1"/>
  <c r="J56" i="448" s="1"/>
  <c r="K56" i="448" s="1"/>
  <c r="L56" i="448" s="1"/>
  <c r="M56" i="448" s="1"/>
  <c r="N56" i="448" s="1"/>
  <c r="O56" i="448" s="1"/>
  <c r="P56" i="448" s="1"/>
  <c r="Q56" i="448" s="1"/>
  <c r="R56" i="448" s="1"/>
  <c r="S56" i="448" s="1"/>
  <c r="T56" i="448" s="1"/>
  <c r="U56" i="448" s="1"/>
  <c r="V56" i="448" s="1"/>
  <c r="W56" i="448" s="1"/>
  <c r="X56" i="448" s="1"/>
  <c r="Y56" i="448" s="1"/>
  <c r="Z56" i="448" s="1"/>
  <c r="AA56" i="448" s="1"/>
  <c r="AB56" i="448" s="1"/>
  <c r="AC56" i="448" s="1"/>
  <c r="AD56" i="448" s="1"/>
  <c r="AE56" i="448" s="1"/>
  <c r="AF56" i="448" s="1"/>
  <c r="AI56" i="448" s="1"/>
  <c r="AI58" i="448" s="1"/>
  <c r="AN58" i="448" s="1"/>
  <c r="AL58" i="448"/>
  <c r="AK84" i="444"/>
  <c r="AN84" i="444" s="1"/>
  <c r="AI84" i="445" s="1"/>
  <c r="AK84" i="445" s="1"/>
  <c r="AL84" i="446" s="1"/>
  <c r="K25" i="1"/>
  <c r="P13" i="1"/>
  <c r="P14" i="1" s="1"/>
  <c r="C26" i="15"/>
  <c r="AH77" i="454"/>
  <c r="AA22" i="15"/>
  <c r="AH77" i="452"/>
  <c r="U20" i="15"/>
  <c r="AA19" i="15"/>
  <c r="T24" i="15"/>
  <c r="R15" i="1"/>
  <c r="R25" i="1" s="1"/>
  <c r="H25" i="1" s="1"/>
  <c r="K15" i="1"/>
  <c r="AK84" i="446" s="1"/>
  <c r="AN84" i="446" s="1"/>
  <c r="AK84" i="447" s="1"/>
  <c r="AM84" i="447" s="1"/>
  <c r="AL84" i="448" s="1"/>
  <c r="E17" i="15"/>
  <c r="C17" i="15" s="1"/>
  <c r="L15" i="1"/>
  <c r="AK67" i="446" s="1"/>
  <c r="T19" i="15"/>
  <c r="T31" i="15" s="1"/>
  <c r="AK67" i="444"/>
  <c r="AN67" i="444" s="1"/>
  <c r="AI67" i="445" s="1"/>
  <c r="AK67" i="445" s="1"/>
  <c r="AL67" i="446" s="1"/>
  <c r="Q13" i="1"/>
  <c r="Q14" i="1" s="1"/>
  <c r="Q15" i="1" s="1"/>
  <c r="Q16" i="1" s="1"/>
  <c r="AF76" i="446"/>
  <c r="AE77" i="446" s="1"/>
  <c r="AE69" i="446" s="1"/>
  <c r="AF76" i="451"/>
  <c r="AE77" i="451" s="1"/>
  <c r="AE69" i="451" s="1"/>
  <c r="AF76" i="455"/>
  <c r="AE77" i="455" s="1"/>
  <c r="AE69" i="455" s="1"/>
  <c r="AI69" i="455" s="1"/>
  <c r="AJ73" i="444"/>
  <c r="AI77" i="444"/>
  <c r="AF76" i="448"/>
  <c r="AE77" i="448" s="1"/>
  <c r="AE69" i="448" s="1"/>
  <c r="AI69" i="448" s="1"/>
  <c r="AF76" i="453"/>
  <c r="AE77" i="453" s="1"/>
  <c r="AE69" i="453" s="1"/>
  <c r="AI69" i="453" s="1"/>
  <c r="AI69" i="451"/>
  <c r="Q79" i="444"/>
  <c r="R70" i="444"/>
  <c r="AI69" i="446"/>
  <c r="AJ73" i="446"/>
  <c r="AI69" i="444"/>
  <c r="AH69" i="452"/>
  <c r="AI77" i="455"/>
  <c r="AF76" i="450"/>
  <c r="AE77" i="450" s="1"/>
  <c r="AE69" i="450" s="1"/>
  <c r="AI69" i="450" s="1"/>
  <c r="AJ73" i="451"/>
  <c r="AI77" i="451"/>
  <c r="V34" i="444"/>
  <c r="U81" i="444"/>
  <c r="AJ73" i="453"/>
  <c r="Y5" i="31" l="1"/>
  <c r="Z2" i="31" s="1"/>
  <c r="O2" i="27"/>
  <c r="D27" i="15"/>
  <c r="N2" i="28"/>
  <c r="AN69" i="444"/>
  <c r="U15" i="15"/>
  <c r="U19" i="15"/>
  <c r="AO55" i="448"/>
  <c r="AO55" i="450"/>
  <c r="AN67" i="448"/>
  <c r="AK67" i="449" s="1"/>
  <c r="AM67" i="449" s="1"/>
  <c r="AL67" i="450" s="1"/>
  <c r="AN67" i="450" s="1"/>
  <c r="AL67" i="451" s="1"/>
  <c r="AN67" i="451" s="1"/>
  <c r="AK67" i="452" s="1"/>
  <c r="AM67" i="452" s="1"/>
  <c r="AL67" i="453" s="1"/>
  <c r="AN67" i="453" s="1"/>
  <c r="AK67" i="454" s="1"/>
  <c r="AM67" i="454" s="1"/>
  <c r="AL67" i="455" s="1"/>
  <c r="AN67" i="455" s="1"/>
  <c r="E27" i="15"/>
  <c r="U17" i="15"/>
  <c r="L25" i="1"/>
  <c r="AA32" i="15"/>
  <c r="C31" i="15"/>
  <c r="AO55" i="453"/>
  <c r="AN55" i="454"/>
  <c r="AN84" i="448"/>
  <c r="AK84" i="449" s="1"/>
  <c r="AM84" i="449" s="1"/>
  <c r="AL84" i="450" s="1"/>
  <c r="AN84" i="450" s="1"/>
  <c r="AL84" i="451" s="1"/>
  <c r="AN84" i="451" s="1"/>
  <c r="AK84" i="452" s="1"/>
  <c r="AM84" i="452" s="1"/>
  <c r="AL84" i="453" s="1"/>
  <c r="AN84" i="453" s="1"/>
  <c r="AK84" i="454" s="1"/>
  <c r="AM84" i="454" s="1"/>
  <c r="AL84" i="455" s="1"/>
  <c r="AN84" i="455" s="1"/>
  <c r="E31" i="15"/>
  <c r="AI77" i="453"/>
  <c r="U21" i="15"/>
  <c r="AJ73" i="455"/>
  <c r="AI77" i="446"/>
  <c r="U22" i="15"/>
  <c r="AA27" i="15"/>
  <c r="F31" i="15"/>
  <c r="F27" i="15"/>
  <c r="AN55" i="447"/>
  <c r="AN55" i="449"/>
  <c r="O32" i="15"/>
  <c r="G16" i="15"/>
  <c r="G18" i="15"/>
  <c r="G19" i="15"/>
  <c r="G17" i="15"/>
  <c r="G20" i="15"/>
  <c r="G15" i="15"/>
  <c r="E32" i="15"/>
  <c r="K10" i="1"/>
  <c r="B33" i="1"/>
  <c r="U23" i="15"/>
  <c r="U24" i="15"/>
  <c r="U26" i="15"/>
  <c r="Q17" i="1"/>
  <c r="Q18" i="1" s="1"/>
  <c r="Q19" i="1" s="1"/>
  <c r="Q20" i="1" s="1"/>
  <c r="Q21" i="1" s="1"/>
  <c r="Q22" i="1" s="1"/>
  <c r="Q23" i="1" s="1"/>
  <c r="Q24" i="1" s="1"/>
  <c r="AN67" i="446"/>
  <c r="AK67" i="447" s="1"/>
  <c r="AM67" i="447" s="1"/>
  <c r="AL67" i="448" s="1"/>
  <c r="P15" i="1"/>
  <c r="P16" i="1" s="1"/>
  <c r="P17" i="1" s="1"/>
  <c r="P18" i="1" s="1"/>
  <c r="P19" i="1" s="1"/>
  <c r="P20" i="1" s="1"/>
  <c r="P21" i="1" s="1"/>
  <c r="P22" i="1" s="1"/>
  <c r="P23" i="1" s="1"/>
  <c r="P24" i="1" s="1"/>
  <c r="AK58" i="449"/>
  <c r="B56" i="449"/>
  <c r="C56" i="449" s="1"/>
  <c r="D56" i="449" s="1"/>
  <c r="E56" i="449" s="1"/>
  <c r="F56" i="449" s="1"/>
  <c r="G56" i="449" s="1"/>
  <c r="H56" i="449" s="1"/>
  <c r="I56" i="449" s="1"/>
  <c r="J56" i="449" s="1"/>
  <c r="K56" i="449" s="1"/>
  <c r="L56" i="449" s="1"/>
  <c r="M56" i="449" s="1"/>
  <c r="N56" i="449" s="1"/>
  <c r="O56" i="449" s="1"/>
  <c r="P56" i="449" s="1"/>
  <c r="Q56" i="449" s="1"/>
  <c r="R56" i="449" s="1"/>
  <c r="S56" i="449" s="1"/>
  <c r="T56" i="449" s="1"/>
  <c r="U56" i="449" s="1"/>
  <c r="V56" i="449" s="1"/>
  <c r="W56" i="449" s="1"/>
  <c r="X56" i="449" s="1"/>
  <c r="Y56" i="449" s="1"/>
  <c r="Z56" i="449" s="1"/>
  <c r="AA56" i="449" s="1"/>
  <c r="AB56" i="449" s="1"/>
  <c r="AC56" i="449" s="1"/>
  <c r="AD56" i="449" s="1"/>
  <c r="AE56" i="449" s="1"/>
  <c r="AH56" i="449" s="1"/>
  <c r="AH58" i="449" s="1"/>
  <c r="AM58" i="449" s="1"/>
  <c r="C22" i="15"/>
  <c r="AO55" i="446"/>
  <c r="AO55" i="451"/>
  <c r="C19" i="15"/>
  <c r="G25" i="15" s="1"/>
  <c r="F32" i="15"/>
  <c r="C21" i="15"/>
  <c r="C32" i="15" s="1"/>
  <c r="AI77" i="448"/>
  <c r="AJ73" i="448"/>
  <c r="AI77" i="450"/>
  <c r="V81" i="444"/>
  <c r="W34" i="444"/>
  <c r="AJ73" i="450"/>
  <c r="R79" i="444"/>
  <c r="S70" i="444"/>
  <c r="AP55" i="455" l="1"/>
  <c r="AP55" i="450"/>
  <c r="AP55" i="446"/>
  <c r="AO55" i="454"/>
  <c r="AP55" i="451"/>
  <c r="AO55" i="447"/>
  <c r="AP55" i="453"/>
  <c r="AP55" i="448"/>
  <c r="AM55" i="445"/>
  <c r="AO55" i="452"/>
  <c r="AO55" i="449"/>
  <c r="AP55" i="444"/>
  <c r="C27" i="15"/>
  <c r="B56" i="450"/>
  <c r="C56" i="450" s="1"/>
  <c r="D56" i="450" s="1"/>
  <c r="E56" i="450" s="1"/>
  <c r="F56" i="450" s="1"/>
  <c r="G56" i="450" s="1"/>
  <c r="H56" i="450" s="1"/>
  <c r="I56" i="450" s="1"/>
  <c r="J56" i="450" s="1"/>
  <c r="K56" i="450" s="1"/>
  <c r="L56" i="450" s="1"/>
  <c r="M56" i="450" s="1"/>
  <c r="N56" i="450" s="1"/>
  <c r="O56" i="450" s="1"/>
  <c r="P56" i="450" s="1"/>
  <c r="Q56" i="450" s="1"/>
  <c r="R56" i="450" s="1"/>
  <c r="S56" i="450" s="1"/>
  <c r="T56" i="450" s="1"/>
  <c r="U56" i="450" s="1"/>
  <c r="V56" i="450" s="1"/>
  <c r="W56" i="450" s="1"/>
  <c r="X56" i="450" s="1"/>
  <c r="Y56" i="450" s="1"/>
  <c r="Z56" i="450" s="1"/>
  <c r="AA56" i="450" s="1"/>
  <c r="AB56" i="450" s="1"/>
  <c r="AC56" i="450" s="1"/>
  <c r="AD56" i="450" s="1"/>
  <c r="AE56" i="450" s="1"/>
  <c r="AF56" i="450" s="1"/>
  <c r="AI56" i="450" s="1"/>
  <c r="AI58" i="450" s="1"/>
  <c r="AN58" i="450" s="1"/>
  <c r="AL58" i="450"/>
  <c r="G22" i="15"/>
  <c r="U31" i="15"/>
  <c r="U27" i="15"/>
  <c r="G21" i="15"/>
  <c r="U32" i="15"/>
  <c r="AC12" i="15"/>
  <c r="E33" i="1"/>
  <c r="G26" i="15"/>
  <c r="G24" i="15"/>
  <c r="G23" i="15"/>
  <c r="L11" i="1"/>
  <c r="P12" i="15"/>
  <c r="B35" i="1"/>
  <c r="E35" i="1" s="1"/>
  <c r="AN72" i="444"/>
  <c r="AI69" i="445"/>
  <c r="S79" i="444"/>
  <c r="T70" i="444"/>
  <c r="X34" i="444"/>
  <c r="W81" i="444"/>
  <c r="AO67" i="451" l="1"/>
  <c r="AO67" i="448"/>
  <c r="AO67" i="444"/>
  <c r="AO67" i="455"/>
  <c r="AN67" i="452"/>
  <c r="AO67" i="446"/>
  <c r="AN67" i="454"/>
  <c r="AO67" i="450"/>
  <c r="AN67" i="447"/>
  <c r="AO67" i="453"/>
  <c r="AN67" i="449"/>
  <c r="AL67" i="445"/>
  <c r="P28" i="15"/>
  <c r="B56" i="451"/>
  <c r="C56" i="451" s="1"/>
  <c r="D56" i="451" s="1"/>
  <c r="E56" i="451" s="1"/>
  <c r="F56" i="451" s="1"/>
  <c r="G56" i="451" s="1"/>
  <c r="H56" i="451" s="1"/>
  <c r="I56" i="451" s="1"/>
  <c r="J56" i="451" s="1"/>
  <c r="K56" i="451" s="1"/>
  <c r="L56" i="451" s="1"/>
  <c r="M56" i="451" s="1"/>
  <c r="N56" i="451" s="1"/>
  <c r="O56" i="451" s="1"/>
  <c r="P56" i="451" s="1"/>
  <c r="Q56" i="451" s="1"/>
  <c r="R56" i="451" s="1"/>
  <c r="S56" i="451" s="1"/>
  <c r="T56" i="451" s="1"/>
  <c r="U56" i="451" s="1"/>
  <c r="V56" i="451" s="1"/>
  <c r="W56" i="451" s="1"/>
  <c r="X56" i="451" s="1"/>
  <c r="Y56" i="451" s="1"/>
  <c r="Z56" i="451" s="1"/>
  <c r="AA56" i="451" s="1"/>
  <c r="AB56" i="451" s="1"/>
  <c r="AC56" i="451" s="1"/>
  <c r="AD56" i="451" s="1"/>
  <c r="AE56" i="451" s="1"/>
  <c r="AF56" i="451" s="1"/>
  <c r="AI56" i="451" s="1"/>
  <c r="AI58" i="451" s="1"/>
  <c r="AN58" i="451" s="1"/>
  <c r="AL58" i="451"/>
  <c r="AI72" i="445"/>
  <c r="B70" i="445"/>
  <c r="AK69" i="445"/>
  <c r="AN84" i="454"/>
  <c r="B85" i="454" s="1"/>
  <c r="AO84" i="450"/>
  <c r="B85" i="450" s="1"/>
  <c r="AL84" i="445"/>
  <c r="B85" i="445" s="1"/>
  <c r="AC28" i="15"/>
  <c r="AC29" i="15" s="1"/>
  <c r="AN84" i="452"/>
  <c r="B85" i="452" s="1"/>
  <c r="AO84" i="448"/>
  <c r="B85" i="448" s="1"/>
  <c r="C85" i="448" s="1"/>
  <c r="AO84" i="444"/>
  <c r="B85" i="444" s="1"/>
  <c r="C85" i="444" s="1"/>
  <c r="D85" i="444" s="1"/>
  <c r="AO84" i="455"/>
  <c r="B85" i="455" s="1"/>
  <c r="AO84" i="451"/>
  <c r="B85" i="451" s="1"/>
  <c r="C85" i="451" s="1"/>
  <c r="AN84" i="447"/>
  <c r="B85" i="447" s="1"/>
  <c r="AO84" i="453"/>
  <c r="B85" i="453" s="1"/>
  <c r="C85" i="453" s="1"/>
  <c r="D85" i="453" s="1"/>
  <c r="AN84" i="449"/>
  <c r="B85" i="449" s="1"/>
  <c r="AO84" i="446"/>
  <c r="B85" i="446" s="1"/>
  <c r="T79" i="444"/>
  <c r="U70" i="444"/>
  <c r="X81" i="444"/>
  <c r="Y34" i="444"/>
  <c r="C85" i="446" l="1"/>
  <c r="B66" i="446"/>
  <c r="D85" i="451"/>
  <c r="C66" i="451"/>
  <c r="C85" i="452"/>
  <c r="B66" i="452"/>
  <c r="C85" i="454"/>
  <c r="B66" i="454"/>
  <c r="C85" i="449"/>
  <c r="B66" i="449"/>
  <c r="C85" i="455"/>
  <c r="B66" i="455"/>
  <c r="AO84" i="454"/>
  <c r="AP84" i="450"/>
  <c r="AM84" i="445"/>
  <c r="AP84" i="453"/>
  <c r="AO84" i="449"/>
  <c r="AP84" i="444"/>
  <c r="AD29" i="15"/>
  <c r="AO84" i="452"/>
  <c r="AP84" i="448"/>
  <c r="AO84" i="447"/>
  <c r="AP84" i="455"/>
  <c r="AP84" i="451"/>
  <c r="AP84" i="446"/>
  <c r="AK72" i="445"/>
  <c r="AL69" i="446"/>
  <c r="C85" i="447"/>
  <c r="D85" i="447" s="1"/>
  <c r="E85" i="447" s="1"/>
  <c r="B66" i="447"/>
  <c r="D85" i="448"/>
  <c r="C66" i="448"/>
  <c r="C85" i="450"/>
  <c r="D85" i="450" s="1"/>
  <c r="E85" i="450" s="1"/>
  <c r="B66" i="450"/>
  <c r="AK58" i="452"/>
  <c r="B56" i="452"/>
  <c r="C56" i="452" s="1"/>
  <c r="D56" i="452" s="1"/>
  <c r="E56" i="452" s="1"/>
  <c r="F56" i="452" s="1"/>
  <c r="G56" i="452" s="1"/>
  <c r="H56" i="452" s="1"/>
  <c r="I56" i="452" s="1"/>
  <c r="J56" i="452" s="1"/>
  <c r="K56" i="452" s="1"/>
  <c r="L56" i="452" s="1"/>
  <c r="M56" i="452" s="1"/>
  <c r="N56" i="452" s="1"/>
  <c r="O56" i="452" s="1"/>
  <c r="P56" i="452" s="1"/>
  <c r="Q56" i="452" s="1"/>
  <c r="R56" i="452" s="1"/>
  <c r="S56" i="452" s="1"/>
  <c r="T56" i="452" s="1"/>
  <c r="U56" i="452" s="1"/>
  <c r="V56" i="452" s="1"/>
  <c r="W56" i="452" s="1"/>
  <c r="X56" i="452" s="1"/>
  <c r="Y56" i="452" s="1"/>
  <c r="Z56" i="452" s="1"/>
  <c r="AA56" i="452" s="1"/>
  <c r="AB56" i="452" s="1"/>
  <c r="AC56" i="452" s="1"/>
  <c r="AD56" i="452" s="1"/>
  <c r="AE56" i="452" s="1"/>
  <c r="AH56" i="452" s="1"/>
  <c r="AH58" i="452" s="1"/>
  <c r="AM58" i="452" s="1"/>
  <c r="E85" i="453"/>
  <c r="D66" i="453"/>
  <c r="E85" i="444"/>
  <c r="D66" i="444"/>
  <c r="C85" i="445"/>
  <c r="B66" i="445"/>
  <c r="C70" i="445"/>
  <c r="AO67" i="454"/>
  <c r="AP67" i="451"/>
  <c r="AO67" i="447"/>
  <c r="AP67" i="453"/>
  <c r="AO67" i="449"/>
  <c r="AM67" i="445"/>
  <c r="AO67" i="452"/>
  <c r="AP67" i="448"/>
  <c r="AP67" i="444"/>
  <c r="AP67" i="455"/>
  <c r="AP67" i="450"/>
  <c r="AP67" i="446"/>
  <c r="Y81" i="444"/>
  <c r="Z34" i="444"/>
  <c r="U79" i="444"/>
  <c r="V70" i="444"/>
  <c r="D85" i="445" l="1"/>
  <c r="C66" i="445"/>
  <c r="F85" i="453"/>
  <c r="E66" i="453"/>
  <c r="F85" i="450"/>
  <c r="E66" i="450"/>
  <c r="F85" i="447"/>
  <c r="E66" i="447"/>
  <c r="D70" i="445"/>
  <c r="D85" i="454"/>
  <c r="C66" i="454"/>
  <c r="E85" i="451"/>
  <c r="D66" i="451"/>
  <c r="F85" i="444"/>
  <c r="E66" i="444"/>
  <c r="E85" i="448"/>
  <c r="D66" i="448"/>
  <c r="B56" i="453"/>
  <c r="C56" i="453" s="1"/>
  <c r="D56" i="453" s="1"/>
  <c r="E56" i="453" s="1"/>
  <c r="F56" i="453" s="1"/>
  <c r="G56" i="453" s="1"/>
  <c r="H56" i="453" s="1"/>
  <c r="I56" i="453" s="1"/>
  <c r="J56" i="453" s="1"/>
  <c r="K56" i="453" s="1"/>
  <c r="L56" i="453" s="1"/>
  <c r="M56" i="453" s="1"/>
  <c r="N56" i="453" s="1"/>
  <c r="O56" i="453" s="1"/>
  <c r="P56" i="453" s="1"/>
  <c r="Q56" i="453" s="1"/>
  <c r="R56" i="453" s="1"/>
  <c r="S56" i="453" s="1"/>
  <c r="T56" i="453" s="1"/>
  <c r="U56" i="453" s="1"/>
  <c r="V56" i="453" s="1"/>
  <c r="W56" i="453" s="1"/>
  <c r="X56" i="453" s="1"/>
  <c r="Y56" i="453" s="1"/>
  <c r="Z56" i="453" s="1"/>
  <c r="AA56" i="453" s="1"/>
  <c r="AB56" i="453" s="1"/>
  <c r="AC56" i="453" s="1"/>
  <c r="AD56" i="453" s="1"/>
  <c r="AE56" i="453" s="1"/>
  <c r="AF56" i="453" s="1"/>
  <c r="AI56" i="453" s="1"/>
  <c r="AI58" i="453" s="1"/>
  <c r="AN58" i="453" s="1"/>
  <c r="AL58" i="453"/>
  <c r="AL72" i="446"/>
  <c r="B70" i="446"/>
  <c r="AN69" i="446"/>
  <c r="D85" i="455"/>
  <c r="E85" i="455" s="1"/>
  <c r="F85" i="455" s="1"/>
  <c r="C66" i="455"/>
  <c r="D85" i="449"/>
  <c r="C66" i="449"/>
  <c r="D85" i="452"/>
  <c r="E85" i="452" s="1"/>
  <c r="F85" i="452" s="1"/>
  <c r="C66" i="452"/>
  <c r="D85" i="446"/>
  <c r="C66" i="446"/>
  <c r="V79" i="444"/>
  <c r="W70" i="444"/>
  <c r="AA34" i="444"/>
  <c r="Z81" i="444"/>
  <c r="G85" i="455" l="1"/>
  <c r="F66" i="455"/>
  <c r="AK58" i="454"/>
  <c r="B56" i="454"/>
  <c r="C56" i="454" s="1"/>
  <c r="D56" i="454" s="1"/>
  <c r="E56" i="454" s="1"/>
  <c r="F56" i="454" s="1"/>
  <c r="G56" i="454" s="1"/>
  <c r="H56" i="454" s="1"/>
  <c r="I56" i="454" s="1"/>
  <c r="J56" i="454" s="1"/>
  <c r="K56" i="454" s="1"/>
  <c r="L56" i="454" s="1"/>
  <c r="M56" i="454" s="1"/>
  <c r="N56" i="454" s="1"/>
  <c r="O56" i="454" s="1"/>
  <c r="P56" i="454" s="1"/>
  <c r="Q56" i="454" s="1"/>
  <c r="R56" i="454" s="1"/>
  <c r="S56" i="454" s="1"/>
  <c r="T56" i="454" s="1"/>
  <c r="U56" i="454" s="1"/>
  <c r="V56" i="454" s="1"/>
  <c r="W56" i="454" s="1"/>
  <c r="X56" i="454" s="1"/>
  <c r="Y56" i="454" s="1"/>
  <c r="Z56" i="454" s="1"/>
  <c r="AA56" i="454" s="1"/>
  <c r="AB56" i="454" s="1"/>
  <c r="AC56" i="454" s="1"/>
  <c r="AD56" i="454" s="1"/>
  <c r="AE56" i="454" s="1"/>
  <c r="AH56" i="454" s="1"/>
  <c r="AH58" i="454" s="1"/>
  <c r="AM58" i="454" s="1"/>
  <c r="G85" i="447"/>
  <c r="F66" i="447"/>
  <c r="G85" i="453"/>
  <c r="F66" i="453"/>
  <c r="E85" i="446"/>
  <c r="D66" i="446"/>
  <c r="E85" i="449"/>
  <c r="F85" i="449" s="1"/>
  <c r="G85" i="449" s="1"/>
  <c r="H85" i="449" s="1"/>
  <c r="D66" i="449"/>
  <c r="C70" i="446"/>
  <c r="F85" i="448"/>
  <c r="E66" i="448"/>
  <c r="F85" i="451"/>
  <c r="E66" i="451"/>
  <c r="G85" i="452"/>
  <c r="F66" i="452"/>
  <c r="F66" i="444"/>
  <c r="G85" i="444"/>
  <c r="E85" i="454"/>
  <c r="D66" i="454"/>
  <c r="AN72" i="446"/>
  <c r="AK69" i="447"/>
  <c r="E70" i="445"/>
  <c r="G85" i="450"/>
  <c r="F66" i="450"/>
  <c r="E85" i="445"/>
  <c r="D66" i="445"/>
  <c r="W79" i="444"/>
  <c r="X70" i="444"/>
  <c r="AB34" i="444"/>
  <c r="AA81" i="444"/>
  <c r="F85" i="445" l="1"/>
  <c r="G85" i="445" s="1"/>
  <c r="H85" i="445" s="1"/>
  <c r="E66" i="445"/>
  <c r="F85" i="454"/>
  <c r="G85" i="454" s="1"/>
  <c r="H85" i="454" s="1"/>
  <c r="E66" i="454"/>
  <c r="G85" i="448"/>
  <c r="F66" i="448"/>
  <c r="I85" i="449"/>
  <c r="H66" i="449"/>
  <c r="H85" i="453"/>
  <c r="G66" i="453"/>
  <c r="AK72" i="447"/>
  <c r="B70" i="447"/>
  <c r="AM69" i="447"/>
  <c r="H85" i="444"/>
  <c r="G66" i="444"/>
  <c r="D70" i="446"/>
  <c r="H85" i="450"/>
  <c r="G66" i="450"/>
  <c r="G85" i="451"/>
  <c r="H85" i="451" s="1"/>
  <c r="I85" i="451" s="1"/>
  <c r="F66" i="451"/>
  <c r="F85" i="446"/>
  <c r="G85" i="446" s="1"/>
  <c r="H85" i="446" s="1"/>
  <c r="E66" i="446"/>
  <c r="H85" i="447"/>
  <c r="G66" i="447"/>
  <c r="H85" i="455"/>
  <c r="G66" i="455"/>
  <c r="H85" i="452"/>
  <c r="G66" i="452"/>
  <c r="F70" i="445"/>
  <c r="B56" i="455"/>
  <c r="C56" i="455" s="1"/>
  <c r="D56" i="455" s="1"/>
  <c r="E56" i="455" s="1"/>
  <c r="F56" i="455" s="1"/>
  <c r="G56" i="455" s="1"/>
  <c r="H56" i="455" s="1"/>
  <c r="I56" i="455" s="1"/>
  <c r="J56" i="455" s="1"/>
  <c r="K56" i="455" s="1"/>
  <c r="L56" i="455" s="1"/>
  <c r="M56" i="455" s="1"/>
  <c r="N56" i="455" s="1"/>
  <c r="O56" i="455" s="1"/>
  <c r="P56" i="455" s="1"/>
  <c r="Q56" i="455" s="1"/>
  <c r="R56" i="455" s="1"/>
  <c r="S56" i="455" s="1"/>
  <c r="T56" i="455" s="1"/>
  <c r="U56" i="455" s="1"/>
  <c r="V56" i="455" s="1"/>
  <c r="W56" i="455" s="1"/>
  <c r="X56" i="455" s="1"/>
  <c r="Y56" i="455" s="1"/>
  <c r="Z56" i="455" s="1"/>
  <c r="AA56" i="455" s="1"/>
  <c r="AB56" i="455" s="1"/>
  <c r="AC56" i="455" s="1"/>
  <c r="AD56" i="455" s="1"/>
  <c r="AE56" i="455" s="1"/>
  <c r="AF56" i="455" s="1"/>
  <c r="AI56" i="455" s="1"/>
  <c r="AI58" i="455" s="1"/>
  <c r="AN58" i="455" s="1"/>
  <c r="AL58" i="455"/>
  <c r="X79" i="444"/>
  <c r="Y70" i="444"/>
  <c r="AC34" i="444"/>
  <c r="AB81" i="444"/>
  <c r="I85" i="446" l="1"/>
  <c r="H66" i="446"/>
  <c r="I85" i="450"/>
  <c r="H66" i="450"/>
  <c r="H66" i="444"/>
  <c r="I85" i="444"/>
  <c r="J85" i="444" s="1"/>
  <c r="K85" i="444" s="1"/>
  <c r="J85" i="449"/>
  <c r="I66" i="449"/>
  <c r="E70" i="446"/>
  <c r="AM72" i="447"/>
  <c r="AL69" i="448"/>
  <c r="I85" i="455"/>
  <c r="H66" i="455"/>
  <c r="I85" i="454"/>
  <c r="H66" i="454"/>
  <c r="G70" i="445"/>
  <c r="I85" i="452"/>
  <c r="H66" i="452"/>
  <c r="I85" i="447"/>
  <c r="H66" i="447"/>
  <c r="J85" i="451"/>
  <c r="I66" i="451"/>
  <c r="C70" i="447"/>
  <c r="I85" i="453"/>
  <c r="J85" i="453" s="1"/>
  <c r="K85" i="453" s="1"/>
  <c r="H66" i="453"/>
  <c r="H85" i="448"/>
  <c r="I85" i="448" s="1"/>
  <c r="J85" i="448" s="1"/>
  <c r="G66" i="448"/>
  <c r="I85" i="445"/>
  <c r="H66" i="445"/>
  <c r="Y79" i="444"/>
  <c r="Z70" i="444"/>
  <c r="AC81" i="444"/>
  <c r="AD34" i="444"/>
  <c r="AL72" i="448" l="1"/>
  <c r="B70" i="448"/>
  <c r="AN69" i="448"/>
  <c r="J85" i="445"/>
  <c r="I66" i="445"/>
  <c r="K85" i="451"/>
  <c r="J66" i="451"/>
  <c r="J85" i="454"/>
  <c r="I66" i="454"/>
  <c r="K85" i="449"/>
  <c r="J66" i="449"/>
  <c r="J85" i="450"/>
  <c r="K85" i="450" s="1"/>
  <c r="L85" i="450" s="1"/>
  <c r="I66" i="450"/>
  <c r="D70" i="447"/>
  <c r="H70" i="445"/>
  <c r="K66" i="444"/>
  <c r="L85" i="444"/>
  <c r="L85" i="453"/>
  <c r="K66" i="453"/>
  <c r="J85" i="452"/>
  <c r="I66" i="452"/>
  <c r="K85" i="448"/>
  <c r="J66" i="448"/>
  <c r="J85" i="447"/>
  <c r="K85" i="447" s="1"/>
  <c r="L85" i="447" s="1"/>
  <c r="I66" i="447"/>
  <c r="J85" i="455"/>
  <c r="I66" i="455"/>
  <c r="F70" i="446"/>
  <c r="J85" i="446"/>
  <c r="I66" i="446"/>
  <c r="AD81" i="444"/>
  <c r="AE34" i="444"/>
  <c r="Z79" i="444"/>
  <c r="AA70" i="444"/>
  <c r="L85" i="451" l="1"/>
  <c r="K66" i="451"/>
  <c r="C70" i="448"/>
  <c r="I70" i="445"/>
  <c r="G70" i="446"/>
  <c r="M85" i="444"/>
  <c r="L66" i="444"/>
  <c r="E70" i="447"/>
  <c r="AN72" i="448"/>
  <c r="AK69" i="449"/>
  <c r="M85" i="447"/>
  <c r="L66" i="447"/>
  <c r="K85" i="452"/>
  <c r="L85" i="452" s="1"/>
  <c r="M85" i="452" s="1"/>
  <c r="J66" i="452"/>
  <c r="L85" i="449"/>
  <c r="M85" i="449" s="1"/>
  <c r="N85" i="449" s="1"/>
  <c r="K66" i="449"/>
  <c r="K85" i="446"/>
  <c r="J66" i="446"/>
  <c r="K85" i="455"/>
  <c r="L85" i="455" s="1"/>
  <c r="M85" i="455" s="1"/>
  <c r="J66" i="455"/>
  <c r="L85" i="448"/>
  <c r="K66" i="448"/>
  <c r="M85" i="453"/>
  <c r="L66" i="453"/>
  <c r="M85" i="450"/>
  <c r="L66" i="450"/>
  <c r="K85" i="454"/>
  <c r="J66" i="454"/>
  <c r="K85" i="445"/>
  <c r="J66" i="445"/>
  <c r="AF34" i="444"/>
  <c r="AE81" i="444"/>
  <c r="AA79" i="444"/>
  <c r="AB70" i="444"/>
  <c r="F70" i="447" l="1"/>
  <c r="H70" i="446"/>
  <c r="N85" i="455"/>
  <c r="M66" i="455"/>
  <c r="N85" i="447"/>
  <c r="M66" i="447"/>
  <c r="AK72" i="449"/>
  <c r="B70" i="449"/>
  <c r="AM69" i="449"/>
  <c r="J70" i="445"/>
  <c r="D70" i="448"/>
  <c r="L85" i="454"/>
  <c r="K66" i="454"/>
  <c r="N85" i="453"/>
  <c r="M66" i="453"/>
  <c r="O85" i="449"/>
  <c r="N66" i="449"/>
  <c r="L85" i="445"/>
  <c r="K66" i="445"/>
  <c r="N85" i="450"/>
  <c r="M66" i="450"/>
  <c r="M85" i="448"/>
  <c r="L66" i="448"/>
  <c r="L85" i="446"/>
  <c r="K66" i="446"/>
  <c r="N85" i="452"/>
  <c r="M66" i="452"/>
  <c r="M66" i="444"/>
  <c r="N85" i="444"/>
  <c r="M85" i="451"/>
  <c r="L66" i="451"/>
  <c r="AG34" i="444"/>
  <c r="B34" i="445" s="1"/>
  <c r="AF81" i="444"/>
  <c r="AI81" i="444" s="1"/>
  <c r="AJ34" i="444"/>
  <c r="R15" i="15" s="1"/>
  <c r="AB79" i="444"/>
  <c r="AC70" i="444"/>
  <c r="N85" i="451" l="1"/>
  <c r="O85" i="451" s="1"/>
  <c r="P85" i="451" s="1"/>
  <c r="M66" i="451"/>
  <c r="O85" i="452"/>
  <c r="N66" i="452"/>
  <c r="N85" i="448"/>
  <c r="M66" i="448"/>
  <c r="M85" i="445"/>
  <c r="N85" i="445" s="1"/>
  <c r="O85" i="445" s="1"/>
  <c r="L66" i="445"/>
  <c r="O85" i="453"/>
  <c r="N66" i="453"/>
  <c r="E70" i="448"/>
  <c r="C70" i="449"/>
  <c r="G70" i="447"/>
  <c r="C34" i="445"/>
  <c r="B81" i="445"/>
  <c r="M85" i="446"/>
  <c r="N85" i="446" s="1"/>
  <c r="O85" i="446" s="1"/>
  <c r="L66" i="446"/>
  <c r="O85" i="450"/>
  <c r="N66" i="450"/>
  <c r="P85" i="449"/>
  <c r="O66" i="449"/>
  <c r="M85" i="454"/>
  <c r="N85" i="454" s="1"/>
  <c r="O85" i="454" s="1"/>
  <c r="L66" i="454"/>
  <c r="I70" i="446"/>
  <c r="AM72" i="449"/>
  <c r="AL69" i="450"/>
  <c r="O85" i="447"/>
  <c r="N66" i="447"/>
  <c r="AN81" i="444"/>
  <c r="AI81" i="445" s="1"/>
  <c r="Z15" i="15"/>
  <c r="O85" i="444"/>
  <c r="N66" i="444"/>
  <c r="K70" i="445"/>
  <c r="O85" i="455"/>
  <c r="N66" i="455"/>
  <c r="AC79" i="444"/>
  <c r="AD70" i="444"/>
  <c r="P85" i="454" l="1"/>
  <c r="O66" i="454"/>
  <c r="P85" i="450"/>
  <c r="O66" i="450"/>
  <c r="C81" i="445"/>
  <c r="B79" i="445" s="1"/>
  <c r="D34" i="445"/>
  <c r="P85" i="453"/>
  <c r="Q85" i="453" s="1"/>
  <c r="R85" i="453" s="1"/>
  <c r="O66" i="453"/>
  <c r="O85" i="448"/>
  <c r="P85" i="448" s="1"/>
  <c r="Q85" i="448" s="1"/>
  <c r="N66" i="448"/>
  <c r="Q85" i="451"/>
  <c r="P66" i="451"/>
  <c r="P85" i="455"/>
  <c r="O66" i="455"/>
  <c r="O66" i="444"/>
  <c r="P85" i="444"/>
  <c r="Q85" i="444" s="1"/>
  <c r="R85" i="444" s="1"/>
  <c r="P85" i="447"/>
  <c r="Q85" i="447" s="1"/>
  <c r="R85" i="447" s="1"/>
  <c r="S85" i="447" s="1"/>
  <c r="T85" i="447" s="1"/>
  <c r="O66" i="447"/>
  <c r="J70" i="446"/>
  <c r="Q85" i="449"/>
  <c r="P66" i="449"/>
  <c r="P85" i="446"/>
  <c r="O66" i="446"/>
  <c r="F70" i="448"/>
  <c r="D70" i="449"/>
  <c r="L70" i="445"/>
  <c r="AL72" i="450"/>
  <c r="B70" i="450"/>
  <c r="AN69" i="450"/>
  <c r="H70" i="447"/>
  <c r="P85" i="445"/>
  <c r="O66" i="445"/>
  <c r="P85" i="452"/>
  <c r="O66" i="452"/>
  <c r="AD79" i="444"/>
  <c r="AE70" i="444"/>
  <c r="Q85" i="445" l="1"/>
  <c r="P66" i="445"/>
  <c r="AN72" i="450"/>
  <c r="AL69" i="451"/>
  <c r="E70" i="449"/>
  <c r="R66" i="444"/>
  <c r="S85" i="444"/>
  <c r="C70" i="450"/>
  <c r="M70" i="445"/>
  <c r="Q85" i="446"/>
  <c r="P66" i="446"/>
  <c r="K70" i="446"/>
  <c r="R85" i="451"/>
  <c r="Q66" i="451"/>
  <c r="S85" i="453"/>
  <c r="R66" i="453"/>
  <c r="Q85" i="450"/>
  <c r="R85" i="450" s="1"/>
  <c r="S85" i="450" s="1"/>
  <c r="P66" i="450"/>
  <c r="Q85" i="452"/>
  <c r="P66" i="452"/>
  <c r="I70" i="447"/>
  <c r="G70" i="448"/>
  <c r="D81" i="445"/>
  <c r="E34" i="445"/>
  <c r="R85" i="449"/>
  <c r="Q66" i="449"/>
  <c r="U85" i="447"/>
  <c r="T66" i="447"/>
  <c r="Q85" i="455"/>
  <c r="P66" i="455"/>
  <c r="R85" i="448"/>
  <c r="Q66" i="448"/>
  <c r="Q85" i="454"/>
  <c r="P66" i="454"/>
  <c r="AE79" i="444"/>
  <c r="AF70" i="444"/>
  <c r="AF79" i="444" s="1"/>
  <c r="L70" i="446" l="1"/>
  <c r="N70" i="445"/>
  <c r="S66" i="444"/>
  <c r="T85" i="444"/>
  <c r="R85" i="452"/>
  <c r="S85" i="452" s="1"/>
  <c r="T85" i="452" s="1"/>
  <c r="Q66" i="452"/>
  <c r="T85" i="453"/>
  <c r="S66" i="453"/>
  <c r="F34" i="445"/>
  <c r="E81" i="445"/>
  <c r="D79" i="445" s="1"/>
  <c r="D70" i="450"/>
  <c r="R85" i="454"/>
  <c r="Q66" i="454"/>
  <c r="H70" i="448"/>
  <c r="AL72" i="451"/>
  <c r="B70" i="451"/>
  <c r="AN69" i="451"/>
  <c r="R85" i="455"/>
  <c r="S85" i="455" s="1"/>
  <c r="T85" i="455" s="1"/>
  <c r="Q66" i="455"/>
  <c r="S85" i="449"/>
  <c r="T85" i="449" s="1"/>
  <c r="U85" i="449" s="1"/>
  <c r="R66" i="449"/>
  <c r="S85" i="448"/>
  <c r="R66" i="448"/>
  <c r="V85" i="447"/>
  <c r="U66" i="447"/>
  <c r="C79" i="445"/>
  <c r="J70" i="447"/>
  <c r="T85" i="450"/>
  <c r="S66" i="450"/>
  <c r="S85" i="451"/>
  <c r="R66" i="451"/>
  <c r="R85" i="446"/>
  <c r="Q66" i="446"/>
  <c r="F70" i="449"/>
  <c r="R85" i="445"/>
  <c r="Q66" i="445"/>
  <c r="AI79" i="444"/>
  <c r="S85" i="454" l="1"/>
  <c r="R66" i="454"/>
  <c r="O70" i="445"/>
  <c r="S85" i="445"/>
  <c r="R66" i="445"/>
  <c r="S85" i="446"/>
  <c r="R66" i="446"/>
  <c r="U85" i="450"/>
  <c r="T66" i="450"/>
  <c r="T85" i="448"/>
  <c r="S66" i="448"/>
  <c r="U85" i="455"/>
  <c r="T66" i="455"/>
  <c r="I70" i="448"/>
  <c r="F81" i="445"/>
  <c r="E79" i="445" s="1"/>
  <c r="G34" i="445"/>
  <c r="U85" i="452"/>
  <c r="T66" i="452"/>
  <c r="G70" i="449"/>
  <c r="K70" i="447"/>
  <c r="AN72" i="451"/>
  <c r="AK69" i="452"/>
  <c r="E70" i="450"/>
  <c r="T66" i="444"/>
  <c r="U85" i="444"/>
  <c r="M70" i="446"/>
  <c r="AN79" i="444"/>
  <c r="V15" i="15"/>
  <c r="T85" i="451"/>
  <c r="S66" i="451"/>
  <c r="W85" i="447"/>
  <c r="V66" i="447"/>
  <c r="V85" i="449"/>
  <c r="U66" i="449"/>
  <c r="C70" i="451"/>
  <c r="U85" i="453"/>
  <c r="T66" i="453"/>
  <c r="D70" i="451" l="1"/>
  <c r="AK72" i="452"/>
  <c r="B70" i="452"/>
  <c r="AM69" i="452"/>
  <c r="H34" i="445"/>
  <c r="G81" i="445"/>
  <c r="F79" i="445" s="1"/>
  <c r="T85" i="446"/>
  <c r="U85" i="446" s="1"/>
  <c r="V85" i="446" s="1"/>
  <c r="S66" i="446"/>
  <c r="H70" i="449"/>
  <c r="V85" i="455"/>
  <c r="U66" i="455"/>
  <c r="V85" i="453"/>
  <c r="U66" i="453"/>
  <c r="N70" i="446"/>
  <c r="F70" i="450"/>
  <c r="V85" i="450"/>
  <c r="U66" i="450"/>
  <c r="T85" i="445"/>
  <c r="U85" i="445" s="1"/>
  <c r="V85" i="445" s="1"/>
  <c r="S66" i="445"/>
  <c r="T85" i="454"/>
  <c r="U85" i="454" s="1"/>
  <c r="V85" i="454" s="1"/>
  <c r="S66" i="454"/>
  <c r="V85" i="444"/>
  <c r="U66" i="444"/>
  <c r="P70" i="445"/>
  <c r="X85" i="447"/>
  <c r="Y85" i="447" s="1"/>
  <c r="Z85" i="447" s="1"/>
  <c r="W66" i="447"/>
  <c r="AI79" i="445"/>
  <c r="X15" i="15"/>
  <c r="AO79" i="444" s="1"/>
  <c r="W85" i="449"/>
  <c r="V66" i="449"/>
  <c r="U85" i="451"/>
  <c r="V85" i="451" s="1"/>
  <c r="W85" i="451" s="1"/>
  <c r="T66" i="451"/>
  <c r="L70" i="447"/>
  <c r="V85" i="452"/>
  <c r="U66" i="452"/>
  <c r="J70" i="448"/>
  <c r="U85" i="448"/>
  <c r="T66" i="448"/>
  <c r="AA85" i="447" l="1"/>
  <c r="Z66" i="447"/>
  <c r="W85" i="444"/>
  <c r="X85" i="444" s="1"/>
  <c r="Y85" i="444" s="1"/>
  <c r="V66" i="444"/>
  <c r="W85" i="450"/>
  <c r="V66" i="450"/>
  <c r="O70" i="446"/>
  <c r="W85" i="455"/>
  <c r="V66" i="455"/>
  <c r="C70" i="452"/>
  <c r="W85" i="452"/>
  <c r="V66" i="452"/>
  <c r="X85" i="451"/>
  <c r="W66" i="451"/>
  <c r="M70" i="447"/>
  <c r="W85" i="445"/>
  <c r="V66" i="445"/>
  <c r="G70" i="450"/>
  <c r="W85" i="453"/>
  <c r="X85" i="453" s="1"/>
  <c r="Y85" i="453" s="1"/>
  <c r="V66" i="453"/>
  <c r="I70" i="449"/>
  <c r="I34" i="445"/>
  <c r="H81" i="445"/>
  <c r="G79" i="445" s="1"/>
  <c r="W85" i="454"/>
  <c r="V66" i="454"/>
  <c r="W85" i="446"/>
  <c r="V66" i="446"/>
  <c r="V85" i="448"/>
  <c r="W85" i="448" s="1"/>
  <c r="X85" i="448" s="1"/>
  <c r="U66" i="448"/>
  <c r="Q70" i="445"/>
  <c r="K70" i="448"/>
  <c r="X85" i="449"/>
  <c r="W66" i="449"/>
  <c r="AM72" i="452"/>
  <c r="AL69" i="453"/>
  <c r="E70" i="451"/>
  <c r="AL72" i="453" l="1"/>
  <c r="B70" i="453"/>
  <c r="AN69" i="453"/>
  <c r="L70" i="448"/>
  <c r="P70" i="446"/>
  <c r="R70" i="445"/>
  <c r="X85" i="446"/>
  <c r="W66" i="446"/>
  <c r="Z85" i="453"/>
  <c r="Y66" i="453"/>
  <c r="Y85" i="451"/>
  <c r="X66" i="451"/>
  <c r="J70" i="449"/>
  <c r="H70" i="450"/>
  <c r="D70" i="452"/>
  <c r="I81" i="445"/>
  <c r="H79" i="445" s="1"/>
  <c r="J34" i="445"/>
  <c r="X85" i="445"/>
  <c r="W66" i="445"/>
  <c r="Z85" i="444"/>
  <c r="Y66" i="444"/>
  <c r="F70" i="451"/>
  <c r="Y85" i="449"/>
  <c r="X66" i="449"/>
  <c r="Y85" i="448"/>
  <c r="X66" i="448"/>
  <c r="X85" i="454"/>
  <c r="W66" i="454"/>
  <c r="N70" i="447"/>
  <c r="X85" i="452"/>
  <c r="W66" i="452"/>
  <c r="X85" i="455"/>
  <c r="W66" i="455"/>
  <c r="X85" i="450"/>
  <c r="Y85" i="450" s="1"/>
  <c r="Z85" i="450" s="1"/>
  <c r="W66" i="450"/>
  <c r="AB85" i="447"/>
  <c r="AA66" i="447"/>
  <c r="AA85" i="450" l="1"/>
  <c r="Z66" i="450"/>
  <c r="Y85" i="454"/>
  <c r="X66" i="454"/>
  <c r="AA85" i="444"/>
  <c r="Z66" i="444"/>
  <c r="I70" i="450"/>
  <c r="Z85" i="451"/>
  <c r="Y66" i="451"/>
  <c r="Y85" i="446"/>
  <c r="X66" i="446"/>
  <c r="Q70" i="446"/>
  <c r="C70" i="453"/>
  <c r="AA85" i="453"/>
  <c r="Z66" i="453"/>
  <c r="Y85" i="452"/>
  <c r="Z85" i="452" s="1"/>
  <c r="AA85" i="452" s="1"/>
  <c r="X66" i="452"/>
  <c r="Z85" i="449"/>
  <c r="AA85" i="449" s="1"/>
  <c r="AB85" i="449" s="1"/>
  <c r="Y66" i="449"/>
  <c r="K34" i="445"/>
  <c r="J81" i="445"/>
  <c r="I79" i="445" s="1"/>
  <c r="AN72" i="453"/>
  <c r="AK69" i="454"/>
  <c r="O70" i="447"/>
  <c r="G70" i="451"/>
  <c r="AC85" i="447"/>
  <c r="AB66" i="447"/>
  <c r="Y85" i="455"/>
  <c r="Z85" i="455" s="1"/>
  <c r="AA85" i="455" s="1"/>
  <c r="AB85" i="455" s="1"/>
  <c r="X66" i="455"/>
  <c r="Z85" i="448"/>
  <c r="Y66" i="448"/>
  <c r="Y85" i="445"/>
  <c r="X66" i="445"/>
  <c r="E70" i="452"/>
  <c r="K70" i="449"/>
  <c r="S70" i="445"/>
  <c r="M70" i="448"/>
  <c r="T70" i="445" l="1"/>
  <c r="F70" i="452"/>
  <c r="D70" i="453"/>
  <c r="AD85" i="447"/>
  <c r="AC66" i="447"/>
  <c r="P70" i="447"/>
  <c r="AB85" i="452"/>
  <c r="AA66" i="452"/>
  <c r="N70" i="448"/>
  <c r="H70" i="451"/>
  <c r="J70" i="450"/>
  <c r="AA85" i="448"/>
  <c r="AB85" i="448" s="1"/>
  <c r="Z66" i="448"/>
  <c r="L34" i="445"/>
  <c r="K81" i="445"/>
  <c r="J79" i="445" s="1"/>
  <c r="Z85" i="446"/>
  <c r="Y66" i="446"/>
  <c r="Z85" i="454"/>
  <c r="Y66" i="454"/>
  <c r="AK72" i="454"/>
  <c r="B70" i="454"/>
  <c r="AM69" i="454"/>
  <c r="L70" i="449"/>
  <c r="Z85" i="445"/>
  <c r="Y66" i="445"/>
  <c r="AC85" i="455"/>
  <c r="AB66" i="455"/>
  <c r="AC85" i="449"/>
  <c r="AB66" i="449"/>
  <c r="AB85" i="453"/>
  <c r="AA66" i="453"/>
  <c r="R70" i="446"/>
  <c r="AA85" i="451"/>
  <c r="Z66" i="451"/>
  <c r="AB85" i="444"/>
  <c r="AA66" i="444"/>
  <c r="AB85" i="450"/>
  <c r="AA66" i="450"/>
  <c r="M70" i="449" l="1"/>
  <c r="G70" i="452"/>
  <c r="AC85" i="450"/>
  <c r="AB66" i="450"/>
  <c r="AB85" i="451"/>
  <c r="AC85" i="451" s="1"/>
  <c r="AD85" i="451" s="1"/>
  <c r="AA66" i="451"/>
  <c r="AC85" i="453"/>
  <c r="AB66" i="453"/>
  <c r="AD85" i="455"/>
  <c r="AC66" i="455"/>
  <c r="AC85" i="448"/>
  <c r="AD85" i="448" s="1"/>
  <c r="AE85" i="448" s="1"/>
  <c r="AB66" i="448"/>
  <c r="K70" i="450"/>
  <c r="O70" i="448"/>
  <c r="Q70" i="447"/>
  <c r="E70" i="453"/>
  <c r="AA85" i="446"/>
  <c r="AB85" i="446" s="1"/>
  <c r="AC85" i="446" s="1"/>
  <c r="Z66" i="446"/>
  <c r="I70" i="451"/>
  <c r="AC85" i="452"/>
  <c r="AB66" i="452"/>
  <c r="AE85" i="447"/>
  <c r="AD66" i="447"/>
  <c r="AF67" i="447" s="1"/>
  <c r="AF119" i="447" s="1"/>
  <c r="S70" i="446"/>
  <c r="AM72" i="454"/>
  <c r="AL69" i="455"/>
  <c r="AA85" i="454"/>
  <c r="AB85" i="454" s="1"/>
  <c r="AC85" i="454" s="1"/>
  <c r="Z66" i="454"/>
  <c r="AB66" i="444"/>
  <c r="AC85" i="444"/>
  <c r="AD85" i="449"/>
  <c r="AC66" i="449"/>
  <c r="AA85" i="445"/>
  <c r="AB85" i="445" s="1"/>
  <c r="AC85" i="445" s="1"/>
  <c r="AC66" i="445" s="1"/>
  <c r="Z66" i="445"/>
  <c r="C70" i="454"/>
  <c r="L81" i="445"/>
  <c r="K79" i="445" s="1"/>
  <c r="M34" i="445"/>
  <c r="U70" i="445"/>
  <c r="R70" i="447" l="1"/>
  <c r="V70" i="445"/>
  <c r="AE85" i="449"/>
  <c r="AE66" i="449" s="1"/>
  <c r="AF67" i="449" s="1"/>
  <c r="AF119" i="449" s="1"/>
  <c r="AD66" i="449"/>
  <c r="AD85" i="454"/>
  <c r="AC66" i="454"/>
  <c r="T70" i="446"/>
  <c r="AD85" i="452"/>
  <c r="AC66" i="452"/>
  <c r="AD85" i="446"/>
  <c r="AC66" i="446"/>
  <c r="L70" i="450"/>
  <c r="AE85" i="455"/>
  <c r="AD66" i="455"/>
  <c r="AE85" i="451"/>
  <c r="AD66" i="451"/>
  <c r="H70" i="452"/>
  <c r="N34" i="445"/>
  <c r="M81" i="445"/>
  <c r="L79" i="445" s="1"/>
  <c r="AC66" i="444"/>
  <c r="AD85" i="444"/>
  <c r="AE85" i="444" s="1"/>
  <c r="AF85" i="444" s="1"/>
  <c r="AF66" i="444" s="1"/>
  <c r="AG67" i="444" s="1"/>
  <c r="AG119" i="444" s="1"/>
  <c r="AL72" i="455"/>
  <c r="B70" i="455"/>
  <c r="AN69" i="455"/>
  <c r="AN72" i="455" s="1"/>
  <c r="J70" i="451"/>
  <c r="F70" i="453"/>
  <c r="P70" i="448"/>
  <c r="D70" i="454"/>
  <c r="AD67" i="445"/>
  <c r="AD119" i="445" s="1"/>
  <c r="AF85" i="448"/>
  <c r="AF66" i="448" s="1"/>
  <c r="AG67" i="448" s="1"/>
  <c r="AG119" i="448" s="1"/>
  <c r="AE66" i="448"/>
  <c r="AD85" i="453"/>
  <c r="AE85" i="453" s="1"/>
  <c r="AF85" i="453" s="1"/>
  <c r="AF66" i="453" s="1"/>
  <c r="AC66" i="453"/>
  <c r="AD85" i="450"/>
  <c r="AC66" i="450"/>
  <c r="N70" i="449"/>
  <c r="AE85" i="450" l="1"/>
  <c r="AF85" i="450" s="1"/>
  <c r="AD66" i="450"/>
  <c r="AG67" i="450" s="1"/>
  <c r="AG119" i="450" s="1"/>
  <c r="K70" i="451"/>
  <c r="N81" i="445"/>
  <c r="M79" i="445" s="1"/>
  <c r="O34" i="445"/>
  <c r="AF85" i="451"/>
  <c r="AF66" i="451" s="1"/>
  <c r="AE66" i="451"/>
  <c r="M70" i="450"/>
  <c r="AE85" i="452"/>
  <c r="AE66" i="452" s="1"/>
  <c r="AD66" i="452"/>
  <c r="AE85" i="454"/>
  <c r="AE66" i="454" s="1"/>
  <c r="AD66" i="454"/>
  <c r="W70" i="445"/>
  <c r="O70" i="449"/>
  <c r="AG67" i="453"/>
  <c r="AG119" i="453" s="1"/>
  <c r="E70" i="454"/>
  <c r="G70" i="453"/>
  <c r="U70" i="446"/>
  <c r="S70" i="447"/>
  <c r="Q70" i="448"/>
  <c r="C70" i="455"/>
  <c r="I70" i="452"/>
  <c r="AF85" i="455"/>
  <c r="AE66" i="455"/>
  <c r="AG67" i="455" s="1"/>
  <c r="AG119" i="455" s="1"/>
  <c r="AE85" i="446"/>
  <c r="AD66" i="446"/>
  <c r="AF67" i="452" l="1"/>
  <c r="AF119" i="452" s="1"/>
  <c r="H70" i="453"/>
  <c r="O81" i="445"/>
  <c r="N79" i="445" s="1"/>
  <c r="P34" i="445"/>
  <c r="L70" i="451"/>
  <c r="D70" i="455"/>
  <c r="T70" i="447"/>
  <c r="X70" i="445"/>
  <c r="AG67" i="451"/>
  <c r="AG119" i="451" s="1"/>
  <c r="AF85" i="446"/>
  <c r="AF66" i="446" s="1"/>
  <c r="AE66" i="446"/>
  <c r="J70" i="452"/>
  <c r="R70" i="448"/>
  <c r="V70" i="446"/>
  <c r="F70" i="454"/>
  <c r="P70" i="449"/>
  <c r="AF67" i="454"/>
  <c r="AF119" i="454" s="1"/>
  <c r="N70" i="450"/>
  <c r="G70" i="454" l="1"/>
  <c r="AG67" i="446"/>
  <c r="AG119" i="446" s="1"/>
  <c r="Q70" i="449"/>
  <c r="W70" i="446"/>
  <c r="U70" i="447"/>
  <c r="M70" i="451"/>
  <c r="I70" i="453"/>
  <c r="O70" i="450"/>
  <c r="S70" i="448"/>
  <c r="K70" i="452"/>
  <c r="Y70" i="445"/>
  <c r="E70" i="455"/>
  <c r="P81" i="445"/>
  <c r="O79" i="445" s="1"/>
  <c r="Q34" i="445"/>
  <c r="F70" i="455" l="1"/>
  <c r="L70" i="452"/>
  <c r="P70" i="450"/>
  <c r="N70" i="451"/>
  <c r="H70" i="454"/>
  <c r="T70" i="448"/>
  <c r="J70" i="453"/>
  <c r="X70" i="446"/>
  <c r="Q81" i="445"/>
  <c r="P79" i="445" s="1"/>
  <c r="R34" i="445"/>
  <c r="Z70" i="445"/>
  <c r="V70" i="447"/>
  <c r="R70" i="449"/>
  <c r="AA70" i="445" l="1"/>
  <c r="I70" i="454"/>
  <c r="W70" i="447"/>
  <c r="K70" i="453"/>
  <c r="Q70" i="450"/>
  <c r="G70" i="455"/>
  <c r="M70" i="452"/>
  <c r="S34" i="445"/>
  <c r="R81" i="445"/>
  <c r="Q79" i="445" s="1"/>
  <c r="S70" i="449"/>
  <c r="Y70" i="446"/>
  <c r="U70" i="448"/>
  <c r="O70" i="451"/>
  <c r="L70" i="453" l="1"/>
  <c r="J70" i="454"/>
  <c r="P70" i="451"/>
  <c r="Z70" i="446"/>
  <c r="S81" i="445"/>
  <c r="R79" i="445" s="1"/>
  <c r="T34" i="445"/>
  <c r="H70" i="455"/>
  <c r="T70" i="449"/>
  <c r="R70" i="450"/>
  <c r="V70" i="448"/>
  <c r="N70" i="452"/>
  <c r="X70" i="447"/>
  <c r="AB70" i="445"/>
  <c r="AC70" i="445" l="1"/>
  <c r="AC79" i="445" s="1"/>
  <c r="O70" i="452"/>
  <c r="I70" i="455"/>
  <c r="AA70" i="446"/>
  <c r="W70" i="448"/>
  <c r="S70" i="450"/>
  <c r="K70" i="454"/>
  <c r="Y70" i="447"/>
  <c r="U70" i="449"/>
  <c r="T81" i="445"/>
  <c r="S79" i="445" s="1"/>
  <c r="U34" i="445"/>
  <c r="M70" i="453"/>
  <c r="Q70" i="451"/>
  <c r="T70" i="450" l="1"/>
  <c r="AB70" i="446"/>
  <c r="P70" i="452"/>
  <c r="V70" i="449"/>
  <c r="R70" i="451"/>
  <c r="V34" i="445"/>
  <c r="U81" i="445"/>
  <c r="T79" i="445" s="1"/>
  <c r="Z70" i="447"/>
  <c r="N70" i="453"/>
  <c r="L70" i="454"/>
  <c r="X70" i="448"/>
  <c r="J70" i="455"/>
  <c r="Y70" i="448" l="1"/>
  <c r="O70" i="453"/>
  <c r="AC70" i="446"/>
  <c r="K70" i="455"/>
  <c r="M70" i="454"/>
  <c r="W34" i="445"/>
  <c r="V81" i="445"/>
  <c r="U79" i="445" s="1"/>
  <c r="W70" i="449"/>
  <c r="AA70" i="447"/>
  <c r="S70" i="451"/>
  <c r="Q70" i="452"/>
  <c r="U70" i="450"/>
  <c r="T70" i="451" l="1"/>
  <c r="W81" i="445"/>
  <c r="V79" i="445" s="1"/>
  <c r="X34" i="445"/>
  <c r="X70" i="449"/>
  <c r="V70" i="450"/>
  <c r="N70" i="454"/>
  <c r="AD70" i="446"/>
  <c r="Z70" i="448"/>
  <c r="R70" i="452"/>
  <c r="AB70" i="447"/>
  <c r="L70" i="455"/>
  <c r="P70" i="453"/>
  <c r="Q70" i="453" l="1"/>
  <c r="AA70" i="448"/>
  <c r="O70" i="454"/>
  <c r="AC70" i="447"/>
  <c r="Y70" i="449"/>
  <c r="U70" i="451"/>
  <c r="AE70" i="446"/>
  <c r="M70" i="455"/>
  <c r="S70" i="452"/>
  <c r="W70" i="450"/>
  <c r="X81" i="445"/>
  <c r="W79" i="445" s="1"/>
  <c r="Y34" i="445"/>
  <c r="X70" i="450" l="1"/>
  <c r="V70" i="451"/>
  <c r="AD70" i="447"/>
  <c r="AB70" i="448"/>
  <c r="N70" i="455"/>
  <c r="Z34" i="445"/>
  <c r="Y81" i="445"/>
  <c r="X79" i="445" s="1"/>
  <c r="T70" i="452"/>
  <c r="AF70" i="446"/>
  <c r="AF79" i="446" s="1"/>
  <c r="Z70" i="449"/>
  <c r="P70" i="454"/>
  <c r="R70" i="453"/>
  <c r="AC70" i="448" l="1"/>
  <c r="S70" i="453"/>
  <c r="Z81" i="445"/>
  <c r="Y79" i="445" s="1"/>
  <c r="AA34" i="445"/>
  <c r="O70" i="455"/>
  <c r="AE70" i="447"/>
  <c r="AE79" i="447" s="1"/>
  <c r="AA70" i="449"/>
  <c r="U70" i="452"/>
  <c r="W70" i="451"/>
  <c r="Q70" i="454"/>
  <c r="Y70" i="450"/>
  <c r="Z70" i="450" l="1"/>
  <c r="AB70" i="449"/>
  <c r="P70" i="455"/>
  <c r="X70" i="451"/>
  <c r="T70" i="453"/>
  <c r="R70" i="454"/>
  <c r="V70" i="452"/>
  <c r="AB34" i="445"/>
  <c r="AA81" i="445"/>
  <c r="Z79" i="445" s="1"/>
  <c r="AD70" i="448"/>
  <c r="S70" i="454" l="1"/>
  <c r="AC70" i="449"/>
  <c r="W70" i="452"/>
  <c r="U70" i="453"/>
  <c r="AA70" i="450"/>
  <c r="AC34" i="445"/>
  <c r="AB81" i="445"/>
  <c r="AA79" i="445" s="1"/>
  <c r="Y70" i="451"/>
  <c r="AE70" i="448"/>
  <c r="Q70" i="455"/>
  <c r="AF70" i="448" l="1"/>
  <c r="AF79" i="448" s="1"/>
  <c r="V70" i="453"/>
  <c r="AD70" i="449"/>
  <c r="R70" i="455"/>
  <c r="Z70" i="451"/>
  <c r="AD34" i="445"/>
  <c r="B34" i="446" s="1"/>
  <c r="AC81" i="445"/>
  <c r="AB70" i="450"/>
  <c r="X70" i="452"/>
  <c r="T70" i="454"/>
  <c r="AG34" i="445"/>
  <c r="R16" i="15" s="1"/>
  <c r="AF81" i="445" l="1"/>
  <c r="AB79" i="445"/>
  <c r="AF79" i="445" s="1"/>
  <c r="W70" i="453"/>
  <c r="C34" i="446"/>
  <c r="B81" i="446"/>
  <c r="S70" i="455"/>
  <c r="U70" i="454"/>
  <c r="AC70" i="450"/>
  <c r="Y70" i="452"/>
  <c r="AA70" i="451"/>
  <c r="AE70" i="449"/>
  <c r="AE79" i="449" s="1"/>
  <c r="Z70" i="452" l="1"/>
  <c r="T70" i="455"/>
  <c r="X70" i="453"/>
  <c r="AB70" i="451"/>
  <c r="AK79" i="445"/>
  <c r="V16" i="15"/>
  <c r="V70" i="454"/>
  <c r="AD70" i="450"/>
  <c r="D34" i="446"/>
  <c r="C81" i="446"/>
  <c r="B79" i="446" s="1"/>
  <c r="AK81" i="445"/>
  <c r="AL81" i="446" s="1"/>
  <c r="Z16" i="15"/>
  <c r="D81" i="446" l="1"/>
  <c r="C79" i="446" s="1"/>
  <c r="E34" i="446"/>
  <c r="W70" i="454"/>
  <c r="AC70" i="451"/>
  <c r="U70" i="455"/>
  <c r="AE70" i="450"/>
  <c r="AA70" i="452"/>
  <c r="AL79" i="446"/>
  <c r="X16" i="15"/>
  <c r="AL79" i="445" s="1"/>
  <c r="Y70" i="453"/>
  <c r="AF70" i="450" l="1"/>
  <c r="AF79" i="450" s="1"/>
  <c r="X70" i="454"/>
  <c r="AD70" i="451"/>
  <c r="E81" i="446"/>
  <c r="D79" i="446" s="1"/>
  <c r="F34" i="446"/>
  <c r="Z70" i="453"/>
  <c r="AB70" i="452"/>
  <c r="V70" i="455"/>
  <c r="AA70" i="453" l="1"/>
  <c r="AE70" i="451"/>
  <c r="Y70" i="454"/>
  <c r="W70" i="455"/>
  <c r="AC70" i="452"/>
  <c r="F81" i="446"/>
  <c r="E79" i="446" s="1"/>
  <c r="G34" i="446"/>
  <c r="Z70" i="454" l="1"/>
  <c r="AB70" i="453"/>
  <c r="X70" i="455"/>
  <c r="AF70" i="451"/>
  <c r="AF79" i="451" s="1"/>
  <c r="AD70" i="452"/>
  <c r="G81" i="446"/>
  <c r="F79" i="446" s="1"/>
  <c r="H34" i="446"/>
  <c r="H81" i="446" l="1"/>
  <c r="G79" i="446" s="1"/>
  <c r="I34" i="446"/>
  <c r="Y70" i="455"/>
  <c r="AE70" i="452"/>
  <c r="AE79" i="452" s="1"/>
  <c r="AA70" i="454"/>
  <c r="AC70" i="453"/>
  <c r="AB70" i="454" l="1"/>
  <c r="Z70" i="455"/>
  <c r="AD70" i="453"/>
  <c r="I81" i="446"/>
  <c r="H79" i="446" s="1"/>
  <c r="J34" i="446"/>
  <c r="J81" i="446" l="1"/>
  <c r="I79" i="446" s="1"/>
  <c r="K34" i="446"/>
  <c r="AA70" i="455"/>
  <c r="AE70" i="453"/>
  <c r="AC70" i="454"/>
  <c r="AF70" i="453" l="1"/>
  <c r="AF79" i="453" s="1"/>
  <c r="K81" i="446"/>
  <c r="J79" i="446" s="1"/>
  <c r="L34" i="446"/>
  <c r="AD70" i="454"/>
  <c r="AB70" i="455"/>
  <c r="L81" i="446" l="1"/>
  <c r="K79" i="446" s="1"/>
  <c r="M34" i="446"/>
  <c r="AC70" i="455"/>
  <c r="AE70" i="454"/>
  <c r="AE79" i="454" s="1"/>
  <c r="M81" i="446" l="1"/>
  <c r="L79" i="446" s="1"/>
  <c r="N34" i="446"/>
  <c r="AD70" i="455"/>
  <c r="AE70" i="455" l="1"/>
  <c r="N81" i="446"/>
  <c r="M79" i="446" s="1"/>
  <c r="O34" i="446"/>
  <c r="O81" i="446" l="1"/>
  <c r="N79" i="446" s="1"/>
  <c r="P34" i="446"/>
  <c r="AF70" i="455"/>
  <c r="AF79" i="455" s="1"/>
  <c r="Q34" i="446" l="1"/>
  <c r="P81" i="446"/>
  <c r="O79" i="446" s="1"/>
  <c r="Q81" i="446" l="1"/>
  <c r="P79" i="446" s="1"/>
  <c r="R34" i="446"/>
  <c r="S34" i="446" l="1"/>
  <c r="R81" i="446"/>
  <c r="Q79" i="446" s="1"/>
  <c r="S81" i="446" l="1"/>
  <c r="R79" i="446" s="1"/>
  <c r="T34" i="446"/>
  <c r="T81" i="446" l="1"/>
  <c r="S79" i="446" s="1"/>
  <c r="U34" i="446"/>
  <c r="V34" i="446" l="1"/>
  <c r="U81" i="446"/>
  <c r="T79" i="446" s="1"/>
  <c r="W34" i="446" l="1"/>
  <c r="V81" i="446"/>
  <c r="U79" i="446" s="1"/>
  <c r="X34" i="446" l="1"/>
  <c r="W81" i="446"/>
  <c r="V79" i="446" s="1"/>
  <c r="Y34" i="446" l="1"/>
  <c r="X81" i="446"/>
  <c r="W79" i="446" s="1"/>
  <c r="Z34" i="446" l="1"/>
  <c r="Y81" i="446"/>
  <c r="X79" i="446" s="1"/>
  <c r="Z81" i="446" l="1"/>
  <c r="Y79" i="446" s="1"/>
  <c r="AA34" i="446"/>
  <c r="AB34" i="446" l="1"/>
  <c r="AA81" i="446"/>
  <c r="Z79" i="446" s="1"/>
  <c r="AC34" i="446" l="1"/>
  <c r="AB81" i="446"/>
  <c r="AA79" i="446" s="1"/>
  <c r="AD34" i="446" l="1"/>
  <c r="AC81" i="446"/>
  <c r="AB79" i="446" s="1"/>
  <c r="AD81" i="446" l="1"/>
  <c r="AC79" i="446" s="1"/>
  <c r="AE34" i="446"/>
  <c r="AE81" i="446" l="1"/>
  <c r="AD79" i="446" s="1"/>
  <c r="AF34" i="446"/>
  <c r="AJ34" i="446"/>
  <c r="R17" i="15" s="1"/>
  <c r="AG34" i="446" l="1"/>
  <c r="B34" i="447" s="1"/>
  <c r="AF81" i="446"/>
  <c r="AE79" i="446" l="1"/>
  <c r="AI79" i="446" s="1"/>
  <c r="AI81" i="446"/>
  <c r="C34" i="447"/>
  <c r="B81" i="447"/>
  <c r="D34" i="447" l="1"/>
  <c r="C81" i="447"/>
  <c r="B79" i="447" s="1"/>
  <c r="AN81" i="446"/>
  <c r="AK81" i="447" s="1"/>
  <c r="Z17" i="15"/>
  <c r="AN79" i="446"/>
  <c r="V17" i="15"/>
  <c r="AK79" i="447" l="1"/>
  <c r="X17" i="15"/>
  <c r="AO79" i="446" s="1"/>
  <c r="D81" i="447"/>
  <c r="E34" i="447"/>
  <c r="C79" i="447" l="1"/>
  <c r="F34" i="447"/>
  <c r="E81" i="447"/>
  <c r="D79" i="447" s="1"/>
  <c r="F81" i="447" l="1"/>
  <c r="E79" i="447" s="1"/>
  <c r="G34" i="447"/>
  <c r="G81" i="447" l="1"/>
  <c r="F79" i="447" s="1"/>
  <c r="H34" i="447"/>
  <c r="I34" i="447" l="1"/>
  <c r="H81" i="447"/>
  <c r="G79" i="447" s="1"/>
  <c r="J34" i="447" l="1"/>
  <c r="I81" i="447"/>
  <c r="H79" i="447" s="1"/>
  <c r="K34" i="447" l="1"/>
  <c r="J81" i="447"/>
  <c r="I79" i="447" s="1"/>
  <c r="L34" i="447" l="1"/>
  <c r="K81" i="447"/>
  <c r="J79" i="447" s="1"/>
  <c r="L81" i="447" l="1"/>
  <c r="K79" i="447" s="1"/>
  <c r="M34" i="447"/>
  <c r="M81" i="447" l="1"/>
  <c r="L79" i="447" s="1"/>
  <c r="N34" i="447"/>
  <c r="O34" i="447" l="1"/>
  <c r="N81" i="447"/>
  <c r="M79" i="447" s="1"/>
  <c r="P34" i="447" l="1"/>
  <c r="O81" i="447"/>
  <c r="N79" i="447" s="1"/>
  <c r="Q34" i="447" l="1"/>
  <c r="P81" i="447"/>
  <c r="O79" i="447" s="1"/>
  <c r="Q81" i="447" l="1"/>
  <c r="P79" i="447" s="1"/>
  <c r="R34" i="447"/>
  <c r="S34" i="447" l="1"/>
  <c r="R81" i="447"/>
  <c r="Q79" i="447" s="1"/>
  <c r="T34" i="447" l="1"/>
  <c r="S81" i="447"/>
  <c r="R79" i="447" s="1"/>
  <c r="U34" i="447" l="1"/>
  <c r="T81" i="447"/>
  <c r="S79" i="447" s="1"/>
  <c r="U81" i="447" l="1"/>
  <c r="T79" i="447" s="1"/>
  <c r="V34" i="447"/>
  <c r="W34" i="447" l="1"/>
  <c r="V81" i="447"/>
  <c r="U79" i="447" s="1"/>
  <c r="X34" i="447" l="1"/>
  <c r="W81" i="447"/>
  <c r="V79" i="447" s="1"/>
  <c r="Y34" i="447" l="1"/>
  <c r="X81" i="447"/>
  <c r="W79" i="447" s="1"/>
  <c r="Y81" i="447" l="1"/>
  <c r="X79" i="447" s="1"/>
  <c r="Z34" i="447"/>
  <c r="Z81" i="447" l="1"/>
  <c r="Y79" i="447" s="1"/>
  <c r="AA34" i="447"/>
  <c r="AA81" i="447" l="1"/>
  <c r="Z79" i="447" s="1"/>
  <c r="AB34" i="447"/>
  <c r="AB81" i="447" l="1"/>
  <c r="AA79" i="447" s="1"/>
  <c r="AC34" i="447"/>
  <c r="AC81" i="447" l="1"/>
  <c r="AB79" i="447" s="1"/>
  <c r="AD34" i="447"/>
  <c r="AD81" i="447" l="1"/>
  <c r="AC79" i="447" s="1"/>
  <c r="AE34" i="447"/>
  <c r="AI34" i="447"/>
  <c r="R18" i="15" s="1"/>
  <c r="AE81" i="447" l="1"/>
  <c r="AF34" i="447"/>
  <c r="B34" i="448" s="1"/>
  <c r="C34" i="448" l="1"/>
  <c r="B81" i="448"/>
  <c r="AD79" i="447"/>
  <c r="AH79" i="447" s="1"/>
  <c r="AH81" i="447"/>
  <c r="AM79" i="447" l="1"/>
  <c r="V18" i="15"/>
  <c r="AM81" i="447"/>
  <c r="AL81" i="448" s="1"/>
  <c r="Z18" i="15"/>
  <c r="D34" i="448"/>
  <c r="C81" i="448"/>
  <c r="B79" i="448" s="1"/>
  <c r="E34" i="448" l="1"/>
  <c r="D81" i="448"/>
  <c r="C79" i="448" s="1"/>
  <c r="AL79" i="448"/>
  <c r="X18" i="15"/>
  <c r="AN79" i="447" s="1"/>
  <c r="E81" i="448" l="1"/>
  <c r="D79" i="448" s="1"/>
  <c r="F34" i="448"/>
  <c r="F81" i="448" l="1"/>
  <c r="E79" i="448" s="1"/>
  <c r="G34" i="448"/>
  <c r="G81" i="448" l="1"/>
  <c r="F79" i="448" s="1"/>
  <c r="H34" i="448"/>
  <c r="I34" i="448" l="1"/>
  <c r="H81" i="448"/>
  <c r="G79" i="448" s="1"/>
  <c r="J34" i="448" l="1"/>
  <c r="I81" i="448"/>
  <c r="H79" i="448" s="1"/>
  <c r="K34" i="448" l="1"/>
  <c r="J81" i="448"/>
  <c r="I79" i="448" s="1"/>
  <c r="L34" i="448" l="1"/>
  <c r="K81" i="448"/>
  <c r="J79" i="448" s="1"/>
  <c r="L81" i="448" l="1"/>
  <c r="K79" i="448" s="1"/>
  <c r="M34" i="448"/>
  <c r="N34" i="448" l="1"/>
  <c r="M81" i="448"/>
  <c r="L79" i="448" s="1"/>
  <c r="O34" i="448" l="1"/>
  <c r="N81" i="448"/>
  <c r="M79" i="448" s="1"/>
  <c r="P34" i="448" l="1"/>
  <c r="O81" i="448"/>
  <c r="N79" i="448" s="1"/>
  <c r="Q34" i="448" l="1"/>
  <c r="P81" i="448"/>
  <c r="O79" i="448" s="1"/>
  <c r="R34" i="448" l="1"/>
  <c r="Q81" i="448"/>
  <c r="P79" i="448" s="1"/>
  <c r="S34" i="448" l="1"/>
  <c r="R81" i="448"/>
  <c r="Q79" i="448" s="1"/>
  <c r="T34" i="448" l="1"/>
  <c r="S81" i="448"/>
  <c r="R79" i="448" s="1"/>
  <c r="T81" i="448" l="1"/>
  <c r="S79" i="448" s="1"/>
  <c r="U34" i="448"/>
  <c r="U81" i="448" l="1"/>
  <c r="T79" i="448" s="1"/>
  <c r="V34" i="448"/>
  <c r="V81" i="448" l="1"/>
  <c r="U79" i="448" s="1"/>
  <c r="W34" i="448"/>
  <c r="X34" i="448" l="1"/>
  <c r="W81" i="448"/>
  <c r="V79" i="448" s="1"/>
  <c r="Y34" i="448" l="1"/>
  <c r="X81" i="448"/>
  <c r="W79" i="448" s="1"/>
  <c r="Z34" i="448" l="1"/>
  <c r="Y81" i="448"/>
  <c r="X79" i="448" s="1"/>
  <c r="Z81" i="448" l="1"/>
  <c r="Y79" i="448" s="1"/>
  <c r="AA34" i="448"/>
  <c r="AA81" i="448" l="1"/>
  <c r="Z79" i="448" s="1"/>
  <c r="AB34" i="448"/>
  <c r="AC34" i="448" l="1"/>
  <c r="AB81" i="448"/>
  <c r="AA79" i="448" s="1"/>
  <c r="AC81" i="448" l="1"/>
  <c r="AB79" i="448" s="1"/>
  <c r="AD34" i="448"/>
  <c r="AD81" i="448" l="1"/>
  <c r="AC79" i="448" s="1"/>
  <c r="AE34" i="448"/>
  <c r="AF34" i="448" l="1"/>
  <c r="AE81" i="448"/>
  <c r="AD79" i="448" s="1"/>
  <c r="AJ34" i="448"/>
  <c r="R19" i="15" s="1"/>
  <c r="AF81" i="448" l="1"/>
  <c r="AG34" i="448"/>
  <c r="B34" i="449" s="1"/>
  <c r="C34" i="449" l="1"/>
  <c r="B81" i="449"/>
  <c r="AE79" i="448"/>
  <c r="AI79" i="448" s="1"/>
  <c r="AI81" i="448"/>
  <c r="AN79" i="448" l="1"/>
  <c r="V19" i="15"/>
  <c r="C81" i="449"/>
  <c r="B79" i="449" s="1"/>
  <c r="D34" i="449"/>
  <c r="AN81" i="448"/>
  <c r="AK81" i="449" s="1"/>
  <c r="Z19" i="15"/>
  <c r="D81" i="449" l="1"/>
  <c r="C79" i="449" s="1"/>
  <c r="E34" i="449"/>
  <c r="AK79" i="449"/>
  <c r="X19" i="15"/>
  <c r="AO79" i="448" s="1"/>
  <c r="E81" i="449" l="1"/>
  <c r="D79" i="449" s="1"/>
  <c r="F34" i="449"/>
  <c r="G34" i="449" l="1"/>
  <c r="F81" i="449"/>
  <c r="E79" i="449" s="1"/>
  <c r="H34" i="449" l="1"/>
  <c r="G81" i="449"/>
  <c r="F79" i="449" l="1"/>
  <c r="I34" i="449"/>
  <c r="H81" i="449"/>
  <c r="G79" i="449" s="1"/>
  <c r="I81" i="449" l="1"/>
  <c r="H79" i="449" s="1"/>
  <c r="J34" i="449"/>
  <c r="K34" i="449" l="1"/>
  <c r="J81" i="449"/>
  <c r="I79" i="449" s="1"/>
  <c r="K81" i="449" l="1"/>
  <c r="J79" i="449" s="1"/>
  <c r="L34" i="449"/>
  <c r="L81" i="449" l="1"/>
  <c r="K79" i="449" s="1"/>
  <c r="M34" i="449"/>
  <c r="N34" i="449" l="1"/>
  <c r="M81" i="449"/>
  <c r="L79" i="449" s="1"/>
  <c r="N81" i="449" l="1"/>
  <c r="M79" i="449" s="1"/>
  <c r="O34" i="449"/>
  <c r="O81" i="449" l="1"/>
  <c r="N79" i="449" s="1"/>
  <c r="P34" i="449"/>
  <c r="P81" i="449" l="1"/>
  <c r="O79" i="449" s="1"/>
  <c r="Q34" i="449"/>
  <c r="R34" i="449" l="1"/>
  <c r="Q81" i="449"/>
  <c r="P79" i="449" s="1"/>
  <c r="S34" i="449" l="1"/>
  <c r="R81" i="449"/>
  <c r="Q79" i="449" s="1"/>
  <c r="S81" i="449" l="1"/>
  <c r="R79" i="449" s="1"/>
  <c r="T34" i="449"/>
  <c r="T81" i="449" l="1"/>
  <c r="S79" i="449" s="1"/>
  <c r="U34" i="449"/>
  <c r="U81" i="449" l="1"/>
  <c r="T79" i="449" s="1"/>
  <c r="V34" i="449"/>
  <c r="W34" i="449" l="1"/>
  <c r="V81" i="449"/>
  <c r="U79" i="449" s="1"/>
  <c r="W81" i="449" l="1"/>
  <c r="V79" i="449" s="1"/>
  <c r="X34" i="449"/>
  <c r="Y34" i="449" l="1"/>
  <c r="X81" i="449"/>
  <c r="W79" i="449" s="1"/>
  <c r="Y81" i="449" l="1"/>
  <c r="X79" i="449" s="1"/>
  <c r="Z34" i="449"/>
  <c r="Z81" i="449" l="1"/>
  <c r="Y79" i="449" s="1"/>
  <c r="AA34" i="449"/>
  <c r="AA81" i="449" l="1"/>
  <c r="Z79" i="449" s="1"/>
  <c r="AB34" i="449"/>
  <c r="AC34" i="449" l="1"/>
  <c r="AB81" i="449"/>
  <c r="AA79" i="449" s="1"/>
  <c r="AD34" i="449" l="1"/>
  <c r="AC81" i="449"/>
  <c r="AB79" i="449" s="1"/>
  <c r="AE34" i="449" l="1"/>
  <c r="AD81" i="449"/>
  <c r="AC79" i="449" s="1"/>
  <c r="AF34" i="449" l="1"/>
  <c r="B34" i="450" s="1"/>
  <c r="AE81" i="449"/>
  <c r="AI34" i="449"/>
  <c r="R20" i="15" s="1"/>
  <c r="AD79" i="449" l="1"/>
  <c r="AH79" i="449" s="1"/>
  <c r="AH81" i="449"/>
  <c r="R31" i="15"/>
  <c r="C34" i="450"/>
  <c r="B81" i="450"/>
  <c r="AM81" i="449" l="1"/>
  <c r="AL81" i="450" s="1"/>
  <c r="Z20" i="15"/>
  <c r="C81" i="450"/>
  <c r="B79" i="450" s="1"/>
  <c r="D34" i="450"/>
  <c r="AM79" i="449"/>
  <c r="V20" i="15"/>
  <c r="V31" i="15" s="1"/>
  <c r="AL79" i="450" l="1"/>
  <c r="X20" i="15"/>
  <c r="Z31" i="15"/>
  <c r="E34" i="450"/>
  <c r="D81" i="450"/>
  <c r="C79" i="450" s="1"/>
  <c r="X31" i="15" l="1"/>
  <c r="AN79" i="449"/>
  <c r="F34" i="450"/>
  <c r="E81" i="450"/>
  <c r="D79" i="450" s="1"/>
  <c r="F81" i="450" l="1"/>
  <c r="E79" i="450" s="1"/>
  <c r="G34" i="450"/>
  <c r="H34" i="450" l="1"/>
  <c r="G81" i="450"/>
  <c r="F79" i="450" s="1"/>
  <c r="H81" i="450" l="1"/>
  <c r="G79" i="450" s="1"/>
  <c r="I34" i="450"/>
  <c r="I81" i="450" l="1"/>
  <c r="H79" i="450" s="1"/>
  <c r="J34" i="450"/>
  <c r="J81" i="450" l="1"/>
  <c r="I79" i="450" s="1"/>
  <c r="K34" i="450"/>
  <c r="K81" i="450" l="1"/>
  <c r="J79" i="450" s="1"/>
  <c r="L34" i="450"/>
  <c r="M34" i="450" l="1"/>
  <c r="L81" i="450"/>
  <c r="K79" i="450" s="1"/>
  <c r="M81" i="450" l="1"/>
  <c r="L79" i="450" s="1"/>
  <c r="N34" i="450"/>
  <c r="N81" i="450" l="1"/>
  <c r="M79" i="450" s="1"/>
  <c r="O34" i="450"/>
  <c r="P34" i="450" l="1"/>
  <c r="O81" i="450"/>
  <c r="N79" i="450" s="1"/>
  <c r="Q34" i="450" l="1"/>
  <c r="P81" i="450"/>
  <c r="O79" i="450" s="1"/>
  <c r="Q81" i="450" l="1"/>
  <c r="P79" i="450" s="1"/>
  <c r="R34" i="450"/>
  <c r="S34" i="450" l="1"/>
  <c r="R81" i="450"/>
  <c r="Q79" i="450" s="1"/>
  <c r="T34" i="450" l="1"/>
  <c r="S81" i="450"/>
  <c r="R79" i="450" s="1"/>
  <c r="U34" i="450" l="1"/>
  <c r="T81" i="450"/>
  <c r="S79" i="450" s="1"/>
  <c r="U81" i="450" l="1"/>
  <c r="T79" i="450" s="1"/>
  <c r="V34" i="450"/>
  <c r="W34" i="450" l="1"/>
  <c r="V81" i="450"/>
  <c r="U79" i="450" s="1"/>
  <c r="W81" i="450" l="1"/>
  <c r="V79" i="450" s="1"/>
  <c r="X34" i="450"/>
  <c r="Y34" i="450" l="1"/>
  <c r="X81" i="450"/>
  <c r="W79" i="450" s="1"/>
  <c r="Y81" i="450" l="1"/>
  <c r="X79" i="450" s="1"/>
  <c r="Z34" i="450"/>
  <c r="Z81" i="450" l="1"/>
  <c r="Y79" i="450" s="1"/>
  <c r="AA34" i="450"/>
  <c r="AB34" i="450" l="1"/>
  <c r="AA81" i="450"/>
  <c r="Z79" i="450" s="1"/>
  <c r="AC34" i="450" l="1"/>
  <c r="AB81" i="450"/>
  <c r="AA79" i="450" s="1"/>
  <c r="AC81" i="450" l="1"/>
  <c r="AB79" i="450" s="1"/>
  <c r="AD34" i="450"/>
  <c r="AE34" i="450" l="1"/>
  <c r="AD81" i="450"/>
  <c r="AC79" i="450" s="1"/>
  <c r="AF34" i="450" l="1"/>
  <c r="AE81" i="450"/>
  <c r="AD79" i="450" s="1"/>
  <c r="AG34" i="450" l="1"/>
  <c r="B34" i="451" s="1"/>
  <c r="AF81" i="450"/>
  <c r="AJ34" i="450"/>
  <c r="R21" i="15" s="1"/>
  <c r="AE79" i="450" l="1"/>
  <c r="AI79" i="450" s="1"/>
  <c r="AI81" i="450"/>
  <c r="B81" i="451"/>
  <c r="C34" i="451"/>
  <c r="AN81" i="450" l="1"/>
  <c r="AL81" i="451" s="1"/>
  <c r="Z21" i="15"/>
  <c r="AN79" i="450"/>
  <c r="V21" i="15"/>
  <c r="C81" i="451"/>
  <c r="B79" i="451" s="1"/>
  <c r="D34" i="451"/>
  <c r="AL79" i="451" l="1"/>
  <c r="X21" i="15"/>
  <c r="AO79" i="450" s="1"/>
  <c r="D81" i="451"/>
  <c r="C79" i="451" s="1"/>
  <c r="E34" i="451"/>
  <c r="E81" i="451" l="1"/>
  <c r="D79" i="451" s="1"/>
  <c r="F34" i="451"/>
  <c r="F81" i="451" l="1"/>
  <c r="E79" i="451" s="1"/>
  <c r="G34" i="451"/>
  <c r="G81" i="451" l="1"/>
  <c r="F79" i="451" s="1"/>
  <c r="H34" i="451"/>
  <c r="I34" i="451" l="1"/>
  <c r="H81" i="451"/>
  <c r="G79" i="451" s="1"/>
  <c r="J34" i="451" l="1"/>
  <c r="I81" i="451"/>
  <c r="H79" i="451" s="1"/>
  <c r="J81" i="451" l="1"/>
  <c r="I79" i="451" s="1"/>
  <c r="K34" i="451"/>
  <c r="K81" i="451" l="1"/>
  <c r="J79" i="451" s="1"/>
  <c r="L34" i="451"/>
  <c r="M34" i="451" l="1"/>
  <c r="L81" i="451"/>
  <c r="K79" i="451" s="1"/>
  <c r="M81" i="451" l="1"/>
  <c r="L79" i="451" s="1"/>
  <c r="N34" i="451"/>
  <c r="O34" i="451" l="1"/>
  <c r="N81" i="451"/>
  <c r="M79" i="451" s="1"/>
  <c r="P34" i="451" l="1"/>
  <c r="O81" i="451"/>
  <c r="N79" i="451" s="1"/>
  <c r="Q34" i="451" l="1"/>
  <c r="P81" i="451"/>
  <c r="O79" i="451" s="1"/>
  <c r="Q81" i="451" l="1"/>
  <c r="P79" i="451" s="1"/>
  <c r="R34" i="451"/>
  <c r="R81" i="451" l="1"/>
  <c r="Q79" i="451" s="1"/>
  <c r="S34" i="451"/>
  <c r="S81" i="451" l="1"/>
  <c r="R79" i="451" s="1"/>
  <c r="T34" i="451"/>
  <c r="T81" i="451" l="1"/>
  <c r="S79" i="451" s="1"/>
  <c r="U34" i="451"/>
  <c r="U81" i="451" l="1"/>
  <c r="T79" i="451" s="1"/>
  <c r="V34" i="451"/>
  <c r="V81" i="451" l="1"/>
  <c r="U79" i="451" s="1"/>
  <c r="W34" i="451"/>
  <c r="W81" i="451" l="1"/>
  <c r="V79" i="451" s="1"/>
  <c r="X34" i="451"/>
  <c r="X81" i="451" l="1"/>
  <c r="W79" i="451" s="1"/>
  <c r="Y34" i="451"/>
  <c r="Z34" i="451" l="1"/>
  <c r="Y81" i="451"/>
  <c r="X79" i="451" s="1"/>
  <c r="AA34" i="451" l="1"/>
  <c r="Z81" i="451"/>
  <c r="Y79" i="451" s="1"/>
  <c r="AB34" i="451" l="1"/>
  <c r="AA81" i="451"/>
  <c r="Z79" i="451" s="1"/>
  <c r="AB81" i="451" l="1"/>
  <c r="AA79" i="451" s="1"/>
  <c r="AC34" i="451"/>
  <c r="AD34" i="451" l="1"/>
  <c r="AC81" i="451"/>
  <c r="AB79" i="451" s="1"/>
  <c r="AD81" i="451" l="1"/>
  <c r="AC79" i="451" s="1"/>
  <c r="AE34" i="451"/>
  <c r="AE81" i="451" l="1"/>
  <c r="AD79" i="451" s="1"/>
  <c r="AF34" i="451"/>
  <c r="AG34" i="451" l="1"/>
  <c r="B34" i="452" s="1"/>
  <c r="AF81" i="451"/>
  <c r="AJ34" i="451"/>
  <c r="R22" i="15" s="1"/>
  <c r="AE79" i="451" l="1"/>
  <c r="AI79" i="451" s="1"/>
  <c r="AI81" i="451"/>
  <c r="C34" i="452"/>
  <c r="B81" i="452"/>
  <c r="AN81" i="451" l="1"/>
  <c r="AK81" i="452" s="1"/>
  <c r="Z22" i="15"/>
  <c r="D34" i="452"/>
  <c r="C81" i="452"/>
  <c r="B79" i="452" s="1"/>
  <c r="AN79" i="451"/>
  <c r="V22" i="15"/>
  <c r="D81" i="452" l="1"/>
  <c r="C79" i="452" s="1"/>
  <c r="E34" i="452"/>
  <c r="AK79" i="452"/>
  <c r="X22" i="15"/>
  <c r="AO79" i="451" s="1"/>
  <c r="E81" i="452" l="1"/>
  <c r="F34" i="452"/>
  <c r="F81" i="452" l="1"/>
  <c r="E79" i="452" s="1"/>
  <c r="G34" i="452"/>
  <c r="D79" i="452"/>
  <c r="H34" i="452" l="1"/>
  <c r="G81" i="452"/>
  <c r="F79" i="452" l="1"/>
  <c r="I34" i="452"/>
  <c r="H81" i="452"/>
  <c r="G79" i="452" s="1"/>
  <c r="I81" i="452" l="1"/>
  <c r="H79" i="452" s="1"/>
  <c r="J34" i="452"/>
  <c r="K34" i="452" l="1"/>
  <c r="J81" i="452"/>
  <c r="I79" i="452" s="1"/>
  <c r="K81" i="452" l="1"/>
  <c r="J79" i="452" s="1"/>
  <c r="L34" i="452"/>
  <c r="M34" i="452" l="1"/>
  <c r="L81" i="452"/>
  <c r="K79" i="452" s="1"/>
  <c r="M81" i="452" l="1"/>
  <c r="L79" i="452" s="1"/>
  <c r="N34" i="452"/>
  <c r="N81" i="452" l="1"/>
  <c r="M79" i="452" s="1"/>
  <c r="O34" i="452"/>
  <c r="P34" i="452" l="1"/>
  <c r="O81" i="452"/>
  <c r="N79" i="452" s="1"/>
  <c r="Q34" i="452" l="1"/>
  <c r="P81" i="452"/>
  <c r="O79" i="452" s="1"/>
  <c r="R34" i="452" l="1"/>
  <c r="Q81" i="452"/>
  <c r="P79" i="452" s="1"/>
  <c r="R81" i="452" l="1"/>
  <c r="Q79" i="452" s="1"/>
  <c r="S34" i="452"/>
  <c r="T34" i="452" l="1"/>
  <c r="S81" i="452"/>
  <c r="R79" i="452" s="1"/>
  <c r="T81" i="452" l="1"/>
  <c r="S79" i="452" s="1"/>
  <c r="U34" i="452"/>
  <c r="U81" i="452" l="1"/>
  <c r="T79" i="452" s="1"/>
  <c r="V34" i="452"/>
  <c r="W34" i="452" l="1"/>
  <c r="V81" i="452"/>
  <c r="U79" i="452" s="1"/>
  <c r="X34" i="452" l="1"/>
  <c r="W81" i="452"/>
  <c r="V79" i="452" s="1"/>
  <c r="Y34" i="452" l="1"/>
  <c r="X81" i="452"/>
  <c r="W79" i="452" s="1"/>
  <c r="Y81" i="452" l="1"/>
  <c r="X79" i="452" s="1"/>
  <c r="Z34" i="452"/>
  <c r="Z81" i="452" l="1"/>
  <c r="Y79" i="452" s="1"/>
  <c r="AA34" i="452"/>
  <c r="AA81" i="452" l="1"/>
  <c r="Z79" i="452" s="1"/>
  <c r="AB34" i="452"/>
  <c r="AB81" i="452" l="1"/>
  <c r="AA79" i="452" s="1"/>
  <c r="AC34" i="452"/>
  <c r="AC81" i="452" l="1"/>
  <c r="AB79" i="452" s="1"/>
  <c r="AD34" i="452"/>
  <c r="AE34" i="452" l="1"/>
  <c r="AD81" i="452"/>
  <c r="AC79" i="452" s="1"/>
  <c r="AI34" i="452"/>
  <c r="R23" i="15" s="1"/>
  <c r="AE81" i="452" l="1"/>
  <c r="AF34" i="452"/>
  <c r="B34" i="453" s="1"/>
  <c r="C34" i="453" l="1"/>
  <c r="B81" i="453"/>
  <c r="AD79" i="452"/>
  <c r="AH79" i="452" s="1"/>
  <c r="AH81" i="452"/>
  <c r="AM79" i="452" l="1"/>
  <c r="V23" i="15"/>
  <c r="AM81" i="452"/>
  <c r="AL81" i="453" s="1"/>
  <c r="Z23" i="15"/>
  <c r="D34" i="453"/>
  <c r="C81" i="453"/>
  <c r="B79" i="453" s="1"/>
  <c r="D81" i="453" l="1"/>
  <c r="C79" i="453" s="1"/>
  <c r="E34" i="453"/>
  <c r="AL79" i="453"/>
  <c r="X23" i="15"/>
  <c r="AN79" i="452" s="1"/>
  <c r="E81" i="453" l="1"/>
  <c r="D79" i="453" s="1"/>
  <c r="F34" i="453"/>
  <c r="G34" i="453" l="1"/>
  <c r="F81" i="453"/>
  <c r="E79" i="453" l="1"/>
  <c r="G81" i="453"/>
  <c r="F79" i="453" s="1"/>
  <c r="H34" i="453"/>
  <c r="I34" i="453" l="1"/>
  <c r="H81" i="453"/>
  <c r="G79" i="453" s="1"/>
  <c r="J34" i="453" l="1"/>
  <c r="I81" i="453"/>
  <c r="H79" i="453" s="1"/>
  <c r="K34" i="453" l="1"/>
  <c r="J81" i="453"/>
  <c r="I79" i="453" s="1"/>
  <c r="K81" i="453" l="1"/>
  <c r="J79" i="453" s="1"/>
  <c r="L34" i="453"/>
  <c r="L81" i="453" l="1"/>
  <c r="K79" i="453" s="1"/>
  <c r="M34" i="453"/>
  <c r="M81" i="453" l="1"/>
  <c r="L79" i="453" s="1"/>
  <c r="N34" i="453"/>
  <c r="N81" i="453" l="1"/>
  <c r="M79" i="453" s="1"/>
  <c r="O34" i="453"/>
  <c r="O81" i="453" l="1"/>
  <c r="N79" i="453" s="1"/>
  <c r="P34" i="453"/>
  <c r="P81" i="453" l="1"/>
  <c r="O79" i="453" s="1"/>
  <c r="Q34" i="453"/>
  <c r="R34" i="453" l="1"/>
  <c r="Q81" i="453"/>
  <c r="P79" i="453" s="1"/>
  <c r="R81" i="453" l="1"/>
  <c r="Q79" i="453" s="1"/>
  <c r="S34" i="453"/>
  <c r="S81" i="453" l="1"/>
  <c r="R79" i="453" s="1"/>
  <c r="T34" i="453"/>
  <c r="U34" i="453" l="1"/>
  <c r="T81" i="453"/>
  <c r="S79" i="453" s="1"/>
  <c r="U81" i="453" l="1"/>
  <c r="T79" i="453" s="1"/>
  <c r="V34" i="453"/>
  <c r="W34" i="453" l="1"/>
  <c r="V81" i="453"/>
  <c r="U79" i="453" s="1"/>
  <c r="W81" i="453" l="1"/>
  <c r="V79" i="453" s="1"/>
  <c r="X34" i="453"/>
  <c r="Y34" i="453" l="1"/>
  <c r="X81" i="453"/>
  <c r="W79" i="453" s="1"/>
  <c r="Y81" i="453" l="1"/>
  <c r="X79" i="453" s="1"/>
  <c r="Z34" i="453"/>
  <c r="AA34" i="453" l="1"/>
  <c r="Z81" i="453"/>
  <c r="Y79" i="453" s="1"/>
  <c r="AB34" i="453" l="1"/>
  <c r="AA81" i="453"/>
  <c r="Z79" i="453" s="1"/>
  <c r="AB81" i="453" l="1"/>
  <c r="AA79" i="453" s="1"/>
  <c r="AC34" i="453"/>
  <c r="AD34" i="453" l="1"/>
  <c r="AC81" i="453"/>
  <c r="AB79" i="453" s="1"/>
  <c r="AE34" i="453" l="1"/>
  <c r="AD81" i="453"/>
  <c r="AC79" i="453" s="1"/>
  <c r="AF34" i="453" l="1"/>
  <c r="AE81" i="453"/>
  <c r="AD79" i="453" s="1"/>
  <c r="AG34" i="453" l="1"/>
  <c r="B34" i="454" s="1"/>
  <c r="AF81" i="453"/>
  <c r="AJ34" i="453"/>
  <c r="R24" i="15" s="1"/>
  <c r="AE79" i="453" l="1"/>
  <c r="AI79" i="453" s="1"/>
  <c r="AI81" i="453"/>
  <c r="C34" i="454"/>
  <c r="B81" i="454"/>
  <c r="AN81" i="453" l="1"/>
  <c r="AK81" i="454" s="1"/>
  <c r="Z24" i="15"/>
  <c r="D34" i="454"/>
  <c r="C81" i="454"/>
  <c r="B79" i="454" s="1"/>
  <c r="AN79" i="453"/>
  <c r="V24" i="15"/>
  <c r="D81" i="454" l="1"/>
  <c r="C79" i="454" s="1"/>
  <c r="E34" i="454"/>
  <c r="AK79" i="454"/>
  <c r="X24" i="15"/>
  <c r="AO79" i="453" s="1"/>
  <c r="E81" i="454" l="1"/>
  <c r="F34" i="454"/>
  <c r="G34" i="454" l="1"/>
  <c r="F81" i="454"/>
  <c r="E79" i="454" s="1"/>
  <c r="D79" i="454"/>
  <c r="H34" i="454" l="1"/>
  <c r="G81" i="454"/>
  <c r="F79" i="454" s="1"/>
  <c r="H81" i="454" l="1"/>
  <c r="G79" i="454" s="1"/>
  <c r="I34" i="454"/>
  <c r="I81" i="454" l="1"/>
  <c r="H79" i="454" s="1"/>
  <c r="J34" i="454"/>
  <c r="K34" i="454" l="1"/>
  <c r="J81" i="454"/>
  <c r="I79" i="454" s="1"/>
  <c r="K81" i="454" l="1"/>
  <c r="J79" i="454" s="1"/>
  <c r="L34" i="454"/>
  <c r="L81" i="454" l="1"/>
  <c r="K79" i="454" s="1"/>
  <c r="M34" i="454"/>
  <c r="N34" i="454" l="1"/>
  <c r="M81" i="454"/>
  <c r="L79" i="454" s="1"/>
  <c r="N81" i="454" l="1"/>
  <c r="M79" i="454" s="1"/>
  <c r="O34" i="454"/>
  <c r="O81" i="454" l="1"/>
  <c r="N79" i="454" s="1"/>
  <c r="P34" i="454"/>
  <c r="Q34" i="454" l="1"/>
  <c r="P81" i="454"/>
  <c r="O79" i="454" s="1"/>
  <c r="Q81" i="454" l="1"/>
  <c r="P79" i="454" s="1"/>
  <c r="R34" i="454"/>
  <c r="S34" i="454" l="1"/>
  <c r="R81" i="454"/>
  <c r="Q79" i="454" s="1"/>
  <c r="T34" i="454" l="1"/>
  <c r="S81" i="454"/>
  <c r="R79" i="454" s="1"/>
  <c r="U34" i="454" l="1"/>
  <c r="T81" i="454"/>
  <c r="S79" i="454" s="1"/>
  <c r="V34" i="454" l="1"/>
  <c r="U81" i="454"/>
  <c r="T79" i="454" s="1"/>
  <c r="W34" i="454" l="1"/>
  <c r="V81" i="454"/>
  <c r="U79" i="454" s="1"/>
  <c r="W81" i="454" l="1"/>
  <c r="V79" i="454" s="1"/>
  <c r="X34" i="454"/>
  <c r="Y34" i="454" l="1"/>
  <c r="X81" i="454"/>
  <c r="W79" i="454" s="1"/>
  <c r="Y81" i="454" l="1"/>
  <c r="X79" i="454" s="1"/>
  <c r="Z34" i="454"/>
  <c r="AA34" i="454" l="1"/>
  <c r="Z81" i="454"/>
  <c r="Y79" i="454" s="1"/>
  <c r="AA81" i="454" l="1"/>
  <c r="Z79" i="454" s="1"/>
  <c r="AB34" i="454"/>
  <c r="AC34" i="454" l="1"/>
  <c r="AB81" i="454"/>
  <c r="AA79" i="454" s="1"/>
  <c r="AD34" i="454" l="1"/>
  <c r="AC81" i="454"/>
  <c r="AB79" i="454" s="1"/>
  <c r="AD81" i="454" l="1"/>
  <c r="AC79" i="454" s="1"/>
  <c r="AE34" i="454"/>
  <c r="AI34" i="454"/>
  <c r="R25" i="15" s="1"/>
  <c r="AF34" i="454" l="1"/>
  <c r="B34" i="455" s="1"/>
  <c r="AE81" i="454"/>
  <c r="AD79" i="454" l="1"/>
  <c r="AH79" i="454" s="1"/>
  <c r="AH81" i="454"/>
  <c r="B81" i="455"/>
  <c r="C34" i="455"/>
  <c r="AM81" i="454" l="1"/>
  <c r="AL81" i="455" s="1"/>
  <c r="Z25" i="15"/>
  <c r="D34" i="455"/>
  <c r="C81" i="455"/>
  <c r="B79" i="455" s="1"/>
  <c r="AM79" i="454"/>
  <c r="V25" i="15"/>
  <c r="AL79" i="455" l="1"/>
  <c r="X25" i="15"/>
  <c r="AN79" i="454" s="1"/>
  <c r="E34" i="455"/>
  <c r="D81" i="455"/>
  <c r="F34" i="455" l="1"/>
  <c r="E81" i="455"/>
  <c r="D79" i="455" s="1"/>
  <c r="C79" i="455"/>
  <c r="F81" i="455" l="1"/>
  <c r="G34" i="455"/>
  <c r="E79" i="455" l="1"/>
  <c r="H34" i="455"/>
  <c r="G81" i="455"/>
  <c r="F79" i="455" s="1"/>
  <c r="H81" i="455" l="1"/>
  <c r="G79" i="455" s="1"/>
  <c r="I34" i="455"/>
  <c r="J34" i="455" l="1"/>
  <c r="I81" i="455"/>
  <c r="H79" i="455" l="1"/>
  <c r="K34" i="455"/>
  <c r="J81" i="455"/>
  <c r="I79" i="455" s="1"/>
  <c r="L34" i="455" l="1"/>
  <c r="K81" i="455"/>
  <c r="J79" i="455" s="1"/>
  <c r="L81" i="455" l="1"/>
  <c r="K79" i="455" s="1"/>
  <c r="M34" i="455"/>
  <c r="N34" i="455" l="1"/>
  <c r="M81" i="455"/>
  <c r="L79" i="455" s="1"/>
  <c r="O34" i="455" l="1"/>
  <c r="N81" i="455"/>
  <c r="M79" i="455" s="1"/>
  <c r="O81" i="455" l="1"/>
  <c r="N79" i="455" s="1"/>
  <c r="P34" i="455"/>
  <c r="Q34" i="455" l="1"/>
  <c r="P81" i="455"/>
  <c r="O79" i="455" s="1"/>
  <c r="R34" i="455" l="1"/>
  <c r="Q81" i="455"/>
  <c r="P79" i="455" s="1"/>
  <c r="S34" i="455" l="1"/>
  <c r="R81" i="455"/>
  <c r="Q79" i="455" s="1"/>
  <c r="S81" i="455" l="1"/>
  <c r="R79" i="455" s="1"/>
  <c r="T34" i="455"/>
  <c r="T81" i="455" l="1"/>
  <c r="S79" i="455" s="1"/>
  <c r="U34" i="455"/>
  <c r="U81" i="455" l="1"/>
  <c r="T79" i="455" s="1"/>
  <c r="V34" i="455"/>
  <c r="V81" i="455" l="1"/>
  <c r="U79" i="455" s="1"/>
  <c r="W34" i="455"/>
  <c r="X34" i="455" l="1"/>
  <c r="W81" i="455"/>
  <c r="V79" i="455" s="1"/>
  <c r="X81" i="455" l="1"/>
  <c r="W79" i="455" s="1"/>
  <c r="Y34" i="455"/>
  <c r="Z34" i="455" l="1"/>
  <c r="Y81" i="455"/>
  <c r="X79" i="455" s="1"/>
  <c r="Z81" i="455" l="1"/>
  <c r="Y79" i="455" s="1"/>
  <c r="AA34" i="455"/>
  <c r="AB34" i="455" l="1"/>
  <c r="AA81" i="455"/>
  <c r="Z79" i="455" s="1"/>
  <c r="AB81" i="455" l="1"/>
  <c r="AA79" i="455" s="1"/>
  <c r="AC34" i="455"/>
  <c r="AD34" i="455" l="1"/>
  <c r="AC81" i="455"/>
  <c r="AB79" i="455" s="1"/>
  <c r="AE34" i="455" l="1"/>
  <c r="AD81" i="455"/>
  <c r="AC79" i="455" s="1"/>
  <c r="AE81" i="455" l="1"/>
  <c r="AD79" i="455" s="1"/>
  <c r="AF34" i="455"/>
  <c r="AF81" i="455" l="1"/>
  <c r="AG34" i="455"/>
  <c r="AJ34" i="455"/>
  <c r="R26" i="15" s="1"/>
  <c r="R32" i="15" l="1"/>
  <c r="R27" i="15"/>
  <c r="AE79" i="455"/>
  <c r="AI79" i="455" s="1"/>
  <c r="AI81" i="455"/>
  <c r="AN81" i="455" l="1"/>
  <c r="Z26" i="15"/>
  <c r="AN79" i="455"/>
  <c r="X26" i="15" s="1"/>
  <c r="V26" i="15"/>
  <c r="X27" i="15" l="1"/>
  <c r="AO79" i="455"/>
  <c r="X32" i="15"/>
  <c r="V27" i="15"/>
  <c r="V32" i="15"/>
  <c r="Z27" i="15"/>
  <c r="Z32" i="15"/>
  <c r="AO79" i="454" l="1"/>
  <c r="AP79" i="450"/>
  <c r="AO79" i="447"/>
  <c r="AP79" i="453"/>
  <c r="AO79" i="449"/>
  <c r="AM79" i="445"/>
  <c r="X29" i="15"/>
  <c r="AO79" i="452"/>
  <c r="AP79" i="448"/>
  <c r="AP79" i="444"/>
  <c r="AP79" i="455"/>
  <c r="AP79" i="451"/>
  <c r="AP79" i="4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--</author>
  </authors>
  <commentList>
    <comment ref="C29" authorId="0" shapeId="0" xr:uid="{00000000-0006-0000-0000-000001000000}">
      <text>
        <r>
          <rPr>
            <b/>
            <sz val="8"/>
            <color indexed="81"/>
            <rFont val="Calibri"/>
            <family val="2"/>
          </rPr>
          <t>Bitte jeweils mit "+" oder "-" angeben, ob der Wert hinzu- oder abgerechnet werden soll.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N10" authorId="0" shapeId="0" xr:uid="{63A17BA1-6AC3-4D52-A427-5DFDDB718126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I34" authorId="1" shapeId="0" xr:uid="{D18579BD-9741-4918-9F30-494E6B2D2C82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5A66C51B-16E4-444F-BE2B-512CD02EAF6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F39A70F4-305B-4C79-BC80-DF954045C1EC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39CDB110-5A2F-4465-8253-DD6843531B6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6F944579-002F-474B-BF6D-CD9FA23E2E3B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C23FE5F3-7C94-4ADE-9CF3-8E29E109E191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588FE114-B405-4E80-9523-E2C14BFC3BE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D50AC9AE-7E39-45BE-A081-E96992114A81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B1E528A8-736E-41A8-B183-F56E0EAAFB63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0A7178D3-3867-4137-A3A0-927E92D3C4C1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1ED98C56-3EE8-4E30-AEE4-92F1FF4B9951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L48" authorId="0" shapeId="0" xr:uid="{ED17C676-8750-4398-A128-02D4B05DE329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G57" authorId="2" shapeId="0" xr:uid="{DC4CD503-3387-4DBE-88D3-11526481F95D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K58" authorId="0" shapeId="0" xr:uid="{06A440BF-FA63-40BA-BAAD-15D1E9D6EB09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F63" authorId="3" shapeId="0" xr:uid="{63A88909-C4EB-4059-8D17-0714711F046E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G64" authorId="2" shapeId="0" xr:uid="{CB5BCF80-DFA5-4AFB-B8E7-E90F2ECA2828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I72" authorId="1" shapeId="0" xr:uid="{ED795906-F5B3-475B-808B-3269155A1EEA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I73" authorId="0" shapeId="0" xr:uid="{5C653422-94DC-4B4F-BDCB-3E36A2D7DC1B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L76" authorId="0" shapeId="0" xr:uid="{761027B2-90F3-48FA-88D4-2E26F7560BEC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M79" authorId="0" shapeId="0" xr:uid="{626360CE-6566-4505-A314-1E0B003F41D2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L81" authorId="0" shapeId="0" xr:uid="{E83D716F-4856-4F66-B14F-4406066D53A6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I82" authorId="0" shapeId="0" xr:uid="{0EC4A70F-87E4-4E2D-BBD1-33AA2F235E3D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G85" authorId="2" shapeId="0" xr:uid="{FB79121F-7107-4277-AF0C-5665BEEC443C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2F6C3768-0E3D-4649-B81B-157B756A815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69B29A44-DDF6-438F-9DB1-A8E43B20DA3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B0293DE9-98E3-43BD-939A-A6D859DE575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3EC3164E-9D42-4919-8285-74E4CAA8F8E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2CFB929B-1DB1-4D2D-9691-70DBA695679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AECB6CBB-80CF-4796-BCA5-2AF578C8168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4C58760C-510C-4871-A4D0-55CE9B25A2C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B4B0F7F5-9285-42A8-91C7-4857ECF3E26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69D34536-DD05-4075-BF86-58460EDACA1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7876D2FA-E923-43F3-9373-C74B607D5CB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73E6F9DF-EE64-40C3-9794-97D2BBB3AB7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CA7AF94A-3900-4433-B9F1-7BC6E4AC194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012B5872-ADC0-4209-9EEA-0B506493453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B0D2229A-DE2A-4A79-B7A5-6B124E2ED82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F7A362AA-98C2-41C0-82A9-CA74D58A80B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5046F92A-ECB9-4E34-BDE7-E4056FED3BD9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D6CFD613-E82B-4C6E-B7C9-99A2619ACA22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22E9FD6B-48EC-4DEA-936A-2868F04A76C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7AAC1552-3B6C-4A62-850A-6B7887D566A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F2B6F60B-1817-4620-94E7-55CA79D9FD4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71121B4E-8331-4D33-84A2-67A7AA7DECF3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2D17DDB4-3662-4673-B3B0-EE4295F2E913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0503351B-A944-4784-9EAB-F358330B8A3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08BD92DF-491D-4514-B183-189F11DFEAB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ABBD4499-2987-4BC4-BF54-540E94AD5A0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C06E132B-5AB1-4925-ADD9-BC0FAC624B90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D105F145-9EAF-458F-BA3B-8AD8DC9C4A7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12F4683A-4C43-485D-A88E-2ECEE524098D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B4F3574B-9DAA-4602-8441-87B72DDD23E1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78D14509-C119-4485-8CAB-541659A1BC8C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01E7331A-1FA7-4FD1-8684-DA0422566851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48166EFA-359F-440C-B975-B1E698E4AF91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F5133FD1-36FD-4B54-8EAC-857235CFCDD2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949D63F7-FAB0-49C5-8951-2CC03EFFCEF1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BA419E75-E5FD-4714-A51D-7E2C5AF4193C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EE08D5FB-A3B8-4F0E-AB07-04885B050911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041CC44E-BD1F-4446-A7E4-C5629DF916D9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12C76E1B-1066-4015-A8B2-DF44898084C6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1A8AD5DF-F900-4F9A-91D5-9712B4EC0167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C8A73A2D-C80D-4745-8717-A3D3060A3CC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D2DEDC2E-54EE-414A-B1DE-15EB64CFA3A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ADAF346B-242B-44A9-ABAE-7D633154E9D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60E3EC47-B354-4D11-9985-A72A4369518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EB2A5FF7-CE78-4652-9FFA-F787CB868BE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764DE39F-DCA2-4E94-82BE-F057D53C34D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D8998A16-E7A2-40E9-9449-6FB8FD55412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3BF948DA-86F1-48AC-9A77-D71B6664955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06F0A7DF-BE8E-4D9F-90F3-1D158F7F20E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7E35BDE1-0903-438F-A81F-93461D79E359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21F607B2-B94B-45BE-A881-66942A29634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627CD879-2072-4E98-839A-022C8642663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FF68FC65-A9AD-41BD-BA41-39A538E0F2D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FAC8E1F8-0F77-447B-A456-BEE41584746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19C9ECDF-9E0D-4611-94EA-B53A3F20B74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N10" authorId="0" shapeId="0" xr:uid="{3AC8782B-ECBC-45AB-9FC9-0D03A698D872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I34" authorId="1" shapeId="0" xr:uid="{C4FAB159-F0A5-489F-A8EC-AF1833B0578D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88FB5F4D-2306-4D49-B175-363E49058A0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C3AEB2AE-ECA7-4F88-93BE-4D76DF5B506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0BDB393F-49BD-4617-9CEB-E2E01481D12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4701C3D9-5824-4606-A18B-EB54BBF003F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EA48C2A8-2720-4D8D-B08A-6968578D32F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A1430D14-B358-45E2-BCA9-B192FCEB2689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AFD59A6A-FA4F-4ABF-A9BA-3BF37F2E9BA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29D5DCCD-527D-48D3-9B0E-17872BC266E2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0F88B93F-4D32-45EE-BF95-E97D81D24062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EC4614A4-65BF-40D6-9BFB-1C2C840062D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L48" authorId="0" shapeId="0" xr:uid="{866EAEA1-3805-4C32-B38E-CB4D53BC81F0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G57" authorId="2" shapeId="0" xr:uid="{687C330E-C5E2-4C50-9A6A-99B60E26B251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K58" authorId="0" shapeId="0" xr:uid="{D5ACB256-7031-419E-9E6A-5DEB2A6C819B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F63" authorId="3" shapeId="0" xr:uid="{0AA8A58F-39A1-4C1D-90AF-5F789B19F92B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G64" authorId="2" shapeId="0" xr:uid="{1B39EF7F-D7A6-489A-9AA3-DE1163027123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I72" authorId="1" shapeId="0" xr:uid="{C938F00E-D08F-4C92-B9C6-80C27BD52CAC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I73" authorId="0" shapeId="0" xr:uid="{619466A2-8F4B-40BF-AD0E-A2BFEBE69997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L76" authorId="0" shapeId="0" xr:uid="{BF648CDF-BBCD-492C-8971-BDA937039B3C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M79" authorId="0" shapeId="0" xr:uid="{46142DD7-0C9D-48CF-A219-74F696FC5248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L81" authorId="0" shapeId="0" xr:uid="{912D811B-7C0D-4B03-AC13-E5BBD0CFEA82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I82" authorId="0" shapeId="0" xr:uid="{3B6CEC94-1D3B-4CF1-BAA2-11FCDC1B5829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G85" authorId="2" shapeId="0" xr:uid="{B7E11829-C5F2-4F40-9E3A-8A45EE8B8739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AD9519DE-9894-4DE8-8073-A3AEEE21026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86DEB830-A50A-46D2-81CD-2B7C26D3ABB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E7B0987E-A0B1-4BFA-8256-D7E58094809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DDB07DFC-9B3E-4AFD-A0D8-6ED92FEF242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9B77712A-7198-41AE-8B49-0CE8D61689E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D0AB89F8-A3A0-4C97-AC2D-D62430FB24C9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1333D1F8-CE78-465E-87F0-B946F4EAFF4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C945C536-84D7-45EE-A7D4-B36059DFD51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F801396D-A0AE-43E1-92C4-77EC8FD64A7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3DE0DE0F-6979-4C48-9473-7F00BB330DF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2B5C2DA6-C1BB-4FFB-931A-6AE78AC480C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EA6973EF-7DBA-4E56-896C-2BD12094B65B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43BC2F13-566B-42E2-A598-EA0F1FB672E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9D7D8F98-9FA4-48D4-8109-55CA022308F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4AB5FE52-8F5A-413B-BFD0-B941BAE4BA7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CA33A986-F658-4CCA-BBDB-DE325A7DD85F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20ADF056-A590-4574-A7F6-723E1EBD3935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EDA2922F-6BA2-483C-8BF7-7B3B6912D72B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171FC3C7-0B4E-46EA-BA93-24FF4910E38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27F9394D-11B2-402F-987A-19590729ADE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D96C31DF-889C-4ACE-A4FF-9A923C1A1E9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3620A6DF-264F-4FEE-8F63-BF70B8D6CBA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B5829662-2384-41A3-BDCF-83BEF53B932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D68850C9-DEB8-4127-8D05-FFCA0BA6581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5CED4B86-AE1D-463E-80A0-FE9A374776B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A4CA94E5-EDC3-49B1-9CA4-8080448D18E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52216C84-8386-4A79-9A0C-0395E8637C0C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77241C78-5FC0-4BED-8CD5-8CF55FA07BF0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A47C05BF-C526-409A-9884-5A447C0ECACE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F0F32B89-2FE7-4B64-893D-172380BCA880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F8396CD6-7761-41D5-BE9C-575A174A9043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791C43A4-F91C-4F7A-BF96-2D2C11CC738A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843CE753-93B1-48E9-9C1F-CEE6770A2C18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B1125F37-CBB0-45A8-8BB0-D0DC8CB01BE1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A4ABBA89-90EB-4C75-826A-2912A17FE4D8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199E4994-73FD-431D-8BA6-9221146D757C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2FCE2BC7-75F0-4866-8A4B-FF6E08394B36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D499C7F4-558F-45FD-A6D2-6BF10BB517AD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FD9F8745-A967-466F-B8FC-A0A88BEF8B23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FF064CF8-52B1-48FB-B256-48579D79B28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FF54D7E6-341E-4100-BC74-87E084C6907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9730316E-3428-4169-AADD-EE89955E6E8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B3E44E98-6D37-4E64-87B1-770D2553186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983E738C-0EDD-4587-A25F-DC3BE14AB0F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15DB64BE-8748-4F6F-9A07-BA707EC38D0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8BD26EB6-B3F5-485C-8EB3-E32D00AE8B0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D51C6A5C-E5AC-476D-A245-F51244A7948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3DA43C86-1C4A-4F97-9E10-3F58010EAB0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15C0A9BC-CCFD-4DA1-9CDE-CD74363DA15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5573F4A5-8E52-4966-8DEB-65C7E54D4CE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B9109358-1118-44FF-9E5D-F1A6BF6D1F8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ACEE23D2-0C13-4052-AD4F-F2F8331393BB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6FE672EA-5A9E-4562-8DAC-76A5E89695D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C79474AC-4B7B-45A3-9605-A1A2D8B19E6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von Ballmoos</author>
  </authors>
  <commentList>
    <comment ref="R10" authorId="0" shapeId="0" xr:uid="{00000000-0006-0000-0200-000001000000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</authors>
  <commentList>
    <comment ref="A31" authorId="0" shapeId="0" xr:uid="{00000000-0006-0000-0300-000001000000}">
      <text>
        <r>
          <rPr>
            <b/>
            <sz val="8"/>
            <color indexed="81"/>
            <rFont val="Calibri"/>
            <family val="2"/>
          </rPr>
          <t>Voller Projektname: Entlastungszeit für Vorstands- und Delegiertentätigkeiten bei Standesorganisationen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</authors>
  <commentList>
    <comment ref="A8" authorId="0" shapeId="0" xr:uid="{00000000-0006-0000-0A00-000001000000}">
      <text>
        <r>
          <rPr>
            <b/>
            <sz val="8"/>
            <color indexed="81"/>
            <rFont val="Calibri"/>
            <family val="2"/>
          </rPr>
          <t>Auf die Bezeichnung Vetsuisse gibt es in der Anwendung Abfragen. Deshalb bitte nicht anpassen.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741B56FF-6A5B-4CA4-807B-E78E47E905B8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A41900F2-1260-4B67-923F-30EAAAAD4A57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40105B2A-4448-4049-8B21-05F7F1C49880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980E482F-E398-45BA-A8FE-76B5A2C9F15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91B5CD9E-ED9D-4F01-85DB-898D8D15EA5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BFD9D299-9765-47A9-95FE-D09EDA7C25A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76A62410-D23E-4AFF-9C86-7AC88AF7ACB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359108DB-44B4-40A5-A87E-232800EC4E8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6EF88A52-979C-4CB3-9DAE-BAE48608FA7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BB8FBE67-301E-4B9E-8F40-E4AB8008B86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D962D01C-D37A-4588-B0AC-C562FEFDF05E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A423344B-0BBF-4855-BB00-A285397ECD8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E1A53A4D-B756-41DF-9D0C-2221E07DB426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A8FC3329-8E27-4F03-865F-FE0A3E467D43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848DB64B-B510-4E2C-A83E-6478115C0E60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859EB48B-4247-4D92-95B0-76E003129530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BAC82624-9631-4FD5-A774-0662D29A10DF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DE455DE6-709A-420E-86E4-E8F12CDCC023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51C9B040-20A8-49B5-B871-21086EDFAFA1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C04A8BF1-2946-4AE0-8ADE-CF52459D893E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1E532593-06AB-478F-A355-9FF56306B500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84F68F04-62DD-49A6-BAC8-BC28CE38BDD8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E234E97A-828E-49DB-99F8-3D270975C68F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66058E26-B55A-47F7-A911-CB65869F1273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2A7CD010-D8B1-4912-97A3-6B46C530299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D1DE6156-D2C8-4EF0-8FD5-547C347301C9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2E383DD2-2EAA-4E6A-9BDA-BDC41CD95EB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AD074565-BE49-46EA-89DF-B0797876A14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F42B2442-AEDD-4007-831F-9836588FCA2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E88EAAE1-AFC8-43E1-AA64-3E952A9DCB4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613D5F3F-8B19-41CA-A5E9-EA4A2CC85A6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BBAC4AD2-4445-4539-B7AF-C3F3F4E16E6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01517FB9-E4D3-4080-8B59-9AE51F094B0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98A1CCCA-75C3-4A4E-B1A8-99B835070EB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90AC0D0A-7D72-469F-A1AE-67990CD50EA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D111A7F3-8E3D-4B84-9D06-2F6B6D059F9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2584266D-0CA8-4ACF-B01D-6E3593C0608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7D81F629-BDFF-4B85-AED2-7B84D8637E2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7707FEBE-E2C1-4EF2-9696-ED5CA4F2BDE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L10" authorId="0" shapeId="0" xr:uid="{BCE191AD-C15F-4229-B361-E5C47166BAA3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G34" authorId="1" shapeId="0" xr:uid="{D71B8E1A-D9E6-4189-AFFB-EF98541C062F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631D5E6B-D616-40E6-A610-A0002CB03EDB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849A8613-F150-42F5-8E52-939359573B0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2AB08553-BA88-4244-A4DB-018B84117E5C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128BD38A-B5FE-4255-999C-9971448DCF4E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27937B9D-7551-4EBA-9C56-848E071D3B6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123BDEF9-D02B-4783-99F0-A6ADE5B81B2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794232A4-8DAF-473D-8552-A9BB60FFBBA2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CAE70076-5162-43CF-A0BA-51D4D7B56D3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80C906F0-26B8-4794-9F99-12C02D8B529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BFD1E9A1-A9E1-4805-B682-E4FEBF1EDD5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J48" authorId="0" shapeId="0" xr:uid="{FF3D17BE-9EB2-4588-B7D1-5EC83720FB46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E57" authorId="2" shapeId="0" xr:uid="{EAC9480B-5131-44C4-BA0D-C8F6A269B3CF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I58" authorId="0" shapeId="0" xr:uid="{A22333AC-B5AD-4975-8FA3-21E4056DCFDB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D63" authorId="3" shapeId="0" xr:uid="{D12136B8-2E58-4737-AE93-7AFD1FC0CF77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E64" authorId="2" shapeId="0" xr:uid="{C6A0C756-2F54-41DA-9B8B-00C775AA4010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G72" authorId="1" shapeId="0" xr:uid="{2DC1FD1C-145C-47AF-97B8-CB3B94048BD9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G73" authorId="0" shapeId="0" xr:uid="{1683F7FF-C710-4C09-BF1F-9FDFC5E3E6D6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J76" authorId="0" shapeId="0" xr:uid="{1C4483C0-88B2-429B-B933-65E0FA56D36B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K79" authorId="0" shapeId="0" xr:uid="{FD0C730D-F78A-487B-BFB6-7192C8ABBA09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J81" authorId="0" shapeId="0" xr:uid="{A5289BCB-109C-490F-8F50-FB28FF73A873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G82" authorId="0" shapeId="0" xr:uid="{ADF3D9E7-95ED-49DA-B31F-81590D5857B5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E85" authorId="2" shapeId="0" xr:uid="{9F0DEF5C-5E94-4505-9D34-FB6C1A040F62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78E421CB-A79F-4506-972F-21415257B319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2170670B-E376-41CD-A5D5-B998FC44660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C0838688-289F-4372-A429-B6FD8ECA7D7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D5912097-167D-48FC-965F-357D90CE140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51DE37C5-8BD7-4D10-835C-21B040EB902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8756066C-5C38-4823-BDE0-6C43A0A624F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3722B955-F731-444F-B77A-09AE742D070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7A55AFD9-F1FB-43AC-AFCA-13524BB7377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A96CAA15-21AF-4FB1-9A4E-6C0F83217C4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BA9879E6-5907-4651-B52F-ECDD2752DFF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F2D85393-85C1-4FDD-A121-F339205D532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916E6C2E-8813-4F6B-B781-1DAAD211B31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161F7FB2-0360-42C8-9DB8-74F33BBCFFB9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3E2C9025-6375-4510-BDA1-2F47BD3F18E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7E3DC60F-1AE2-42D1-B4AE-046108F60D9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4F59F130-F677-479E-B807-A1398D59F65C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3929D3D9-F6DC-4140-B8EF-7B23C873F81A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D141A2D2-C8D3-459F-9F0E-8489766B7BB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9E62D69B-B96C-4042-BD41-C8E9449B38E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8DA628B7-452B-4B55-B778-704953D6DF2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AD542914-031B-40E1-AB2B-46CE94B8694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0C6B187F-4708-4742-99B2-FC272589A38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059766AD-482E-4F38-9F68-90F8B721894B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DF642761-70B6-4A47-8035-327C3BB4222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DADBC837-8F2C-4803-B9F3-A2618C41D7D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218B3958-FFAA-49D8-838A-24018146173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B2AE74FB-FD36-41A2-9908-D0B5BFDA3463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C0CE7536-D8F9-47DF-8DF2-7B9A57ABA1FC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45A7E808-247C-439A-93BD-2977034F431D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E6D68A84-40E6-4A14-8E22-0DF786CBC0D9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BE841AA1-5F89-458D-8E3B-8FC37F34A7D6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00AC8F8B-36AA-4E1C-B92E-847E9466855F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0E0AE3EA-657F-48B1-A109-AF4FB257B9EE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33EECDF9-EA6C-445E-B30F-BD239C075AF7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355E5483-1690-477C-B63C-E43DBC280158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8B1B925D-A9AD-4255-BF18-7F521BEF9EF5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059C0194-8C52-4446-9EA6-B7E90CDD0F2D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5F622FB5-A62C-4648-BC4A-47FE1CEF0A74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D6C4D902-24A5-461E-A6EE-A68EE21F51AA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AED3227C-C8BA-40C7-8340-6329AB8918C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01DE8BE8-413A-4810-A73D-B41E6B4504C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CB443C0A-6C6C-433A-A819-7313ED5DAE0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92A05D82-EC22-4F73-B41C-AF4763D9256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87EB79C8-F7C9-4E6C-8428-E54A8838483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78511EEE-8B58-4133-B2E5-34202A1CBF5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A8AF83D0-0782-449C-B284-77294A67FA8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9A6C9AB1-2BC3-473E-B51B-D85F9FE76C2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4C3A8D16-6887-48CF-8914-8A7847BC243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31C59B41-905F-40BF-94AE-DC6D23949B4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C505967B-F7A8-4F1C-B375-9F73CF580C7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446D3867-0585-48AB-806B-388068409EC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FA9563E1-AFBE-43EA-822E-7F8D6CCEDD0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B3949900-25B4-4C2E-B733-471956C297F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9E88456F-66C8-48B4-8F49-368A5000BC8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N10" authorId="0" shapeId="0" xr:uid="{792B57ED-BF0E-43A1-926B-8903A8214C6A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I34" authorId="1" shapeId="0" xr:uid="{8118CF21-F556-4C34-8478-5CC98F87105A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E9CCC580-7565-4D51-9626-690B598AC103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EF18D916-ED42-41A6-BB03-9038579E997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0C436454-92C8-4015-8957-8A29F088E73B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F70B8449-B474-4ECE-951A-4CBF7115259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EF4ED8F4-7AAE-4700-80D5-3336770D076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B3423BC4-6C9B-44BB-98B2-7FC69A2A947C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756B2114-D2D4-4512-91D5-6C05E749E9C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88C4D2BC-211C-4B67-9BC3-94A5258E175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491E5273-AB95-4CDF-8BF1-720D2470ECD2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EE5BE302-48CD-4047-9B35-5B0DD53D923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L48" authorId="0" shapeId="0" xr:uid="{3EFBD795-BED5-4B55-BCC2-2658197477EE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G57" authorId="2" shapeId="0" xr:uid="{7ABB3644-033C-4864-BBE2-2F7B0699FF4F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K58" authorId="0" shapeId="0" xr:uid="{DE90D3F5-F958-4D8F-8276-780AF4BE5E6D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F63" authorId="3" shapeId="0" xr:uid="{1E26F858-13CC-49D6-A808-D689EF016631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G64" authorId="2" shapeId="0" xr:uid="{27B3D9A1-1A53-44C6-882B-A6EBD028D517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I72" authorId="1" shapeId="0" xr:uid="{5C925FC7-17A3-4C61-A3A5-2370A9A7EB4F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I73" authorId="0" shapeId="0" xr:uid="{F39AA610-18D4-41D8-B23F-7B1A1FE9B6E1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L76" authorId="0" shapeId="0" xr:uid="{0626CE83-F92F-48B1-9D5D-C89591351585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M79" authorId="0" shapeId="0" xr:uid="{08330574-4392-4CDF-BB99-DDF8CA2386CB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L81" authorId="0" shapeId="0" xr:uid="{E51897F7-690A-49E0-83C2-052A60D88869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I82" authorId="0" shapeId="0" xr:uid="{D829FC4A-9693-4984-A3BE-B0076AB4423A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G85" authorId="2" shapeId="0" xr:uid="{1BC89083-64B5-49A0-943F-CD71D425D64B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D49C1CB8-E696-4F4F-A671-5F95A0B8037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C9D46DC6-17DB-49C8-96F0-C392935E007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B0C478BC-4747-4520-BC61-D20414EAD3A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C53A5FD9-1B4F-4A9A-B64A-E086FE4E057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3DE94A98-6EE8-4866-9C7A-586E1F28A16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CD928002-671F-4E3A-8BC5-FC3EBC4B8CC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AB81C23B-FD9E-4E21-AA79-DB215F16D7E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7A9BE778-AC3F-4BEE-8760-FC99C0E88C5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49287E47-1D4E-4CD2-9049-D2764C22010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D94499D1-ADF2-42F4-A721-F16C1922EB7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8F3CA263-B158-4AD2-B038-38A2F78A77D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5AA5F8AD-BAE8-45B2-8633-0C3BF81645A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AD96F332-AD32-4C4C-B32C-9615F664804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F5105E51-DF86-47D3-ADC3-238EB8F5EAE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E2C4FAA5-56B6-481F-AD08-E5B5FC063F9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BF9D2B7E-15AB-4CFB-AF90-830B7A6BD69A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45AC9738-4B18-4D67-8C0D-C5D09A30739D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A120C6A8-E558-422F-BEE9-43142B0FE890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A972AD5C-0829-41FF-9B90-2EB4D740C7B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5C3D987F-D0F9-4E80-8CFC-719EC30B2519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3748EB3D-8A8E-4119-A18A-8AFD7E2344CB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8FB73EEC-C1FC-42BC-A958-BBD0DB38F4F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8BB38220-54C7-45A6-A2A8-A504790BEFE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811D0C1F-97A0-4272-AC9F-7AF80A79B4D2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06431A5B-92B9-4296-A197-8D3A2CAF88D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30686191-F31E-4787-8DA0-FEDF0C19C9C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EB3623F2-7044-4352-AC08-D6F8DBFB0D9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3430D067-6167-4AA2-9B08-19AA0A794B13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1B58AC1A-EB13-4A79-8D6B-4CBDAF1B7C9E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07DD9549-ED49-47EA-B647-623FCCDED919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CB8CF6D8-0F2E-44D0-9085-352927961853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F074B842-E225-4D65-A53E-7A5F86F94E4C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733D17AD-BCB3-4462-A24C-22444F168F8A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9B32581E-4356-4C66-A42B-311F2D0D60AA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C6E159B9-8CBF-43C9-B602-E1234AE69121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4F865C17-E60D-4103-B774-16A1490D75CF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37F05E95-D5A2-453A-8224-A800EA282DDB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8AD55680-99BE-4A66-A06D-145467DB26A7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690DAC91-6D6E-44C8-8F27-0DC431C01DA1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31945BF5-B313-47EC-A378-2DF4BC2C6A3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9108A30A-78C5-4A36-9CA1-BC6F8558A16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9673EF40-12F4-4D37-812D-D5F8CCE8531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F65EEACF-5E39-4B6E-8F70-3344583F11B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0BC6A4B9-6673-4AEC-AD24-8D9566C7B85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51DCEEFF-E105-4D1E-8C42-FA18A6EB00A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7C59EFA0-2134-4CE3-9E9D-4E592223BA1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CD26C557-D4EF-4714-A8B6-2FF3DEC98D4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0CC20AC9-17AB-4C84-B4F1-F4334EC9086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A83621E7-8760-4C2E-848B-9CA130B32A1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CF6AD094-214F-48B9-B7BA-338FF7E239E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A68B1A05-9C85-409D-8294-AB4992DF091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6B2DBAF6-A67C-4B16-BCF9-10F01B68585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D35D7976-C128-4139-81D0-9ECE2DB4E249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6247EF55-A56E-4F65-884A-736878093BA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N10" authorId="0" shapeId="0" xr:uid="{4F63E71B-29F9-4FFB-AEA9-16F4A85F71FB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I34" authorId="1" shapeId="0" xr:uid="{49B78822-1929-477F-8F8C-7C42F4A8B9ED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5C23244B-8947-46B8-B46D-A1AC38E2C58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AF249908-C6C2-4181-948E-67D6FF7B984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61F86675-FE5C-49D5-A123-1E7DB43145F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6557DAA6-E2FB-4592-9B02-55A44137569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B4AA1517-34F2-4C7F-AF3A-36147B5585A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F0C959D3-4B3D-413A-9A4E-B0A2E6AC768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682B92CE-8F26-436D-B7DD-E235348F1B1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4B1E4885-A910-4DF1-B228-ADC610C810F3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8EA933BE-C934-490C-BFBA-23F9F9E7C092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95919B38-EEF4-47D3-B936-18175D0CFE91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L48" authorId="0" shapeId="0" xr:uid="{376F2193-FE31-4C8D-81F4-FC4A1B444B2C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G57" authorId="2" shapeId="0" xr:uid="{FFFD42CC-7F25-4C90-964D-BB51034707AF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K58" authorId="0" shapeId="0" xr:uid="{5F169D02-54BC-4E64-B9DC-F258C8F8D68C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F63" authorId="3" shapeId="0" xr:uid="{9E963ACE-65EF-48B3-B76C-088DD2599120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G64" authorId="2" shapeId="0" xr:uid="{4A643E11-7235-4CA1-B9CE-96816347B393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I72" authorId="1" shapeId="0" xr:uid="{08940E70-772F-4A7C-A8DD-AF2795E6C63F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I73" authorId="0" shapeId="0" xr:uid="{7DCF5DCB-350E-49A6-97A9-AB51F694E1C9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L76" authorId="0" shapeId="0" xr:uid="{4F6CA024-F66A-4271-85B1-3C6A6B58EF87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M79" authorId="0" shapeId="0" xr:uid="{6255FFB4-104C-43AA-94B0-34FF11DEF138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L81" authorId="0" shapeId="0" xr:uid="{0826A266-D3E8-4B16-8593-0F35BF442C31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I82" authorId="0" shapeId="0" xr:uid="{1C43E230-3F04-4472-9A03-D2150596B29B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G85" authorId="2" shapeId="0" xr:uid="{B5F2DBAB-9EA2-44C9-9851-CC4E32E0525C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42D5BE51-2DCB-4E7A-B90B-2B80BE82F78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903D5460-F72B-47A4-BC65-B57D2661F44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12CAA58E-3A32-4CB0-8D5A-118300F8D4B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82FE6A04-F6E6-4AD0-AD8D-102E8239A82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2DFD9CAD-01C2-42DE-94FF-0F1ED764F7FD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6B1B8388-C9BE-4623-9800-4615437B62AE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49AF2155-D370-4209-857F-9B06C7F774E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0796459A-0436-475C-A319-F10F5DCA9F0B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EE131FFE-FA6C-4762-BFD5-453843E599DB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526AA09A-B521-4D47-AA47-BF8BD01A575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78161DFA-9C0F-42E1-8CD6-10B0EB6F225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B675ECA4-1A74-44CB-ACE9-F9D58147520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AC7C3AF6-BB5A-4E4B-AE5B-A824BBA85A1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128078A2-C868-40D5-9D96-A7493BEDEE5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1C9D16B2-D10B-4F4E-A3C4-C2CD0909DFF2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72FBFDEC-F3B4-4F9D-9A4C-BC58D2D99F67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C3294896-BB92-43EB-B574-461119842ACA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691013A3-0F6F-432F-B938-6E5CED3EEE5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B0D3EE97-E219-4457-848D-EE3FBF2F2A2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AA76ED74-74AF-4AD8-8399-CEE2BB5673A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1DDB28AE-B1EF-4DE3-93CB-C232C72E0FAD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1D545317-F2EC-4921-8475-0C54B5E70C2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E0529C5C-B9C0-4A77-970E-5D70A6F1E98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756E862E-90F3-4956-BD97-C4001407D565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6D0195F0-5834-4967-AB64-89B37A36A1C1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B1F8C437-CF5D-4663-BD22-F3B49A5B128C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6C92EB9D-8F14-4FB4-BE66-8104ACE4627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0E5C5369-06E7-42EE-BA71-94B7AABD66AF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945BA813-A691-4978-94CF-E2BED008415F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9BCFBEFB-4180-4B63-A1D8-EA7A1763D144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5B47EAA3-02DF-4188-B5E1-80F8DC72FD5F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C647D0A3-D485-460A-88B1-5C0A413943A8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16B9DC7D-B478-4FBA-8304-4F69AF4C65EA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EA54B0C7-6AA6-4DF2-9B82-CB30EB076BD7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0EDAD809-109C-427F-B6DB-2FA0BBA33A6B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099057AD-AEAE-4934-BD5A-CE47A1742994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59FEC81B-5113-4EE0-9FF6-6A48E777EA8F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ADF67FB6-3CB7-4F63-B0B6-86E1986D6196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A95C3D63-2F1F-4FC0-8085-A2AFAE646691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063EBB61-5951-4856-A49D-9118C1816D5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25659008-6C7E-4C87-B9E2-659100B3C98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D67D6BD3-850C-4CB9-B039-D1303AEDCA9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23A3481D-C35A-425E-B42E-0A8CB0E2274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464778DC-DA37-4E27-99F9-76E9CB43896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A5A31CDD-086C-49CB-ACC6-71838696884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CC6EFF76-2A1E-42E6-B978-C57E58B3D8C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81FC6C38-AA5D-4BB6-9D2B-98AF710EA98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349139A0-16D2-438F-9EF5-D92B1A6E308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FAD46651-60BD-40F4-9213-2F589DEF18A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325FA3DA-43C8-4824-9297-4AAF7C1B0D2A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6DACCCC1-DA10-4BD9-A434-81111164996B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512992EC-1024-43C4-B947-E259CE0EF24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36E08AA7-6624-43F9-AFD8-FF6FDA48E3F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8497EC3D-5EEE-4388-B026-1DA2370CD1A8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Jeannette Hügli</author>
    <author>Peter von Ballmoos</author>
    <author>--</author>
    <author>Filipovic Stojan ABRAXAS INFORMATIK AG</author>
  </authors>
  <commentList>
    <comment ref="AO10" authorId="0" shapeId="0" xr:uid="{2DED21E7-C2D1-484D-942C-B750148DAD41}">
      <text>
        <r>
          <rPr>
            <b/>
            <sz val="8"/>
            <color indexed="81"/>
            <rFont val="Calibri"/>
            <family val="2"/>
          </rPr>
          <t>Jahressaldo per
Die erste Zahl weist den Saldo per Ende des entsprechenden Monats aus.
Die zweite Zahl weist den heute aktuellen Saldo per Ende Jahr aus.</t>
        </r>
      </text>
    </comment>
    <comment ref="AJ34" authorId="1" shapeId="0" xr:uid="{62330924-C7C1-4265-B257-307ACF1C163B}">
      <text>
        <r>
          <rPr>
            <b/>
            <sz val="8"/>
            <color indexed="81"/>
            <rFont val="Calibri"/>
            <family val="2"/>
          </rPr>
          <t>Entweder: Anzahl Piketttage an Wochentagen / Wochenenden od. Feiertagen / Summe
oder (50 Std. &amp; Vetsuisse): Anzahl Piketttage unter 5 Std. / über 5 Std. / Summe</t>
        </r>
      </text>
    </comment>
    <comment ref="A35" authorId="1" shapeId="0" xr:uid="{8DAB18E8-77D7-4778-8C53-2BD87EA1B927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6" authorId="1" shapeId="0" xr:uid="{9190E30F-B501-4A80-A4E8-6DC186F33DE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7" authorId="1" shapeId="0" xr:uid="{D9581D09-5A03-47D0-8523-48246E45D930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8" authorId="1" shapeId="0" xr:uid="{2E9435E6-84B6-4D54-BADD-B45F1D240290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39" authorId="1" shapeId="0" xr:uid="{F76E7EE8-7B02-45F2-8998-BDD3C2699E5E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0" authorId="1" shapeId="0" xr:uid="{0F5FA802-EEA1-448B-A24C-71A28F051936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1" authorId="1" shapeId="0" xr:uid="{7FDABD33-9B49-4EB0-AA94-BEB553B39338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2" authorId="1" shapeId="0" xr:uid="{EFCDD32C-6C5D-4546-880F-B9E40AAEDF0F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3" authorId="1" shapeId="0" xr:uid="{46E487C6-8B77-42FA-A417-42D9084CE864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44" authorId="1" shapeId="0" xr:uid="{A56FF505-F253-4D0D-A353-F7CBF859AA5A}">
      <text>
        <r>
          <rPr>
            <b/>
            <sz val="8"/>
            <color indexed="81"/>
            <rFont val="Calibri"/>
            <family val="2"/>
          </rPr>
          <t>Überzeitberechtigte Stunden (setzt eine Bewilligung voraus)</t>
        </r>
      </text>
    </comment>
    <comment ref="AM48" authorId="0" shapeId="0" xr:uid="{36CE1177-791E-45F8-BEE3-BA57E526C217}">
      <text>
        <r>
          <rPr>
            <b/>
            <sz val="8"/>
            <color indexed="81"/>
            <rFont val="Calibri"/>
            <family val="2"/>
          </rPr>
          <t>Pikettstunden des ersten Tags des Folgemonats, die auf den Vortag gerechnet werden.
Im Dezember kann hier ein manueller Eintrag der Pikettstunden ab 00:00 bis 08:00 des 1. Januar des Folgejahres erfolgen.
In allen anderen Monaten wird der Wert berechnet und darf nicht überschrieben werden.</t>
        </r>
      </text>
    </comment>
    <comment ref="AH57" authorId="2" shapeId="0" xr:uid="{CE7F1C43-7262-4FAE-9664-C141545E28C7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L58" authorId="0" shapeId="0" xr:uid="{56387A83-7FBD-4B18-94C8-13C79499C755}">
      <text>
        <r>
          <rPr>
            <b/>
            <sz val="8"/>
            <color indexed="81"/>
            <rFont val="Calibri"/>
            <family val="2"/>
          </rPr>
          <t>Diese Stunden sind im Monatstotal bereits enthalten.</t>
        </r>
      </text>
    </comment>
    <comment ref="AG63" authorId="3" shapeId="0" xr:uid="{8716A25A-35EE-4A64-8014-37F85DF9174F}">
      <text>
        <r>
          <rPr>
            <b/>
            <sz val="8"/>
            <color indexed="81"/>
            <rFont val="Calibri"/>
            <family val="2"/>
          </rPr>
          <t>Der Zuschlag von 25% auf angeordnete Überzeit gilt nur bis Lohnklasse 16 gem. §127 VVO.
Berechtigte Mitarbeitende wählen auf dem Eingabeblatt beim Feld Überzeitzuschlags-
berechtigt "Ja" aus.
Ab Lohnklasse 17 muss die angeordnete Überzeit 1:1 kompensiert werden.
Kein Zuschlag für 50 Std. + Vetsuisse.</t>
        </r>
      </text>
    </comment>
    <comment ref="AH64" authorId="2" shapeId="0" xr:uid="{8AA8DCF2-884B-4C50-8110-87A0480FB45B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J72" authorId="1" shapeId="0" xr:uid="{ED142D61-0075-4D51-A188-012DF6D75DA7}">
      <text>
        <r>
          <rPr>
            <b/>
            <sz val="8"/>
            <color indexed="81"/>
            <rFont val="Calibri"/>
            <family val="2"/>
          </rPr>
          <t>Anzahl Gepl. Nachtdienste</t>
        </r>
      </text>
    </comment>
    <comment ref="AJ73" authorId="0" shapeId="0" xr:uid="{3D9737E7-9512-462C-B193-3875F83B2F26}">
      <text>
        <r>
          <rPr>
            <b/>
            <sz val="8"/>
            <color indexed="81"/>
            <rFont val="Calibri"/>
            <family val="2"/>
          </rPr>
          <t>Anzahl Tage mit Nachtschicht
50_Vetsuisse: überprüft wird aus-Zeit 24:00
ServiceCenter Irchel: geplante Nachtschichten
andere: jede Nachtschicht wird gezählt</t>
        </r>
      </text>
    </comment>
    <comment ref="AM76" authorId="0" shapeId="0" xr:uid="{14942E99-A642-4BBD-A956-226359BC6BC2}">
      <text>
        <r>
          <rPr>
            <b/>
            <sz val="8"/>
            <color indexed="81"/>
            <rFont val="Calibri"/>
            <family val="2"/>
          </rPr>
          <t>Nachtdienststunden des ersten Tags des Folgemonats, die auf den Vortag gerechnet werden.
Im Dezember kann hier ein manueller Eintrag der Nachtdienststunden ab 00:00 bis 06:00 des 1. Januar des Folgejahres erfolgen.
In allen anderen Monaten wird der Wert berechnet und darf nicht überschrieben werden.</t>
        </r>
      </text>
    </comment>
    <comment ref="AN79" authorId="0" shapeId="0" xr:uid="{7AC6BAB0-32E3-47C8-8660-40983D051F0A}">
      <text>
        <r>
          <rPr>
            <b/>
            <sz val="8"/>
            <color indexed="81"/>
            <rFont val="Calibri"/>
            <family val="2"/>
          </rPr>
          <t>Eine allfällige Kompensation in diesem Monat ist hier abgezogen.</t>
        </r>
      </text>
    </comment>
    <comment ref="AM81" authorId="0" shapeId="0" xr:uid="{E30BA9A0-D7A8-4AA8-9490-6119AB9F48AD}">
      <text>
        <r>
          <rPr>
            <b/>
            <sz val="8"/>
            <color indexed="81"/>
            <rFont val="Calibri"/>
            <family val="2"/>
          </rPr>
          <t>Bereitschaftsstunden im Nachtdienst der Medizinischen Mikrobiologie des ersten Tags des Folgemonats, die auf den Vortag gerechnet werden.
Im Dezember kann hier ein manueller Eintrag solcher Bereitschaftsstunden zwischen 00:00 und 06:00 des 1. Januar des Folgejahres erfolgen.
In allen anderen Monaten wird der Wert berechnet und darf nicht überschrieben werden.</t>
        </r>
      </text>
    </comment>
    <comment ref="AJ82" authorId="0" shapeId="0" xr:uid="{0137B2C3-F375-4C82-8D55-77F0B7852CCC}">
      <text>
        <r>
          <rPr>
            <b/>
            <sz val="8"/>
            <color indexed="81"/>
            <rFont val="Calibri"/>
            <family val="2"/>
          </rPr>
          <t>Anzahl Samstag-/Sonntagdienste</t>
        </r>
      </text>
    </comment>
    <comment ref="AH85" authorId="2" shapeId="0" xr:uid="{403C4646-9518-4D98-91FC-27121F928115}">
      <text>
        <r>
          <rPr>
            <b/>
            <sz val="8"/>
            <color indexed="81"/>
            <rFont val="Calibri"/>
            <family val="2"/>
          </rPr>
          <t>Bitte mit "+" oder "-" angeben, ob es sich um eine Plus- oder Minus-Korrektur handelt.</t>
        </r>
      </text>
    </comment>
    <comment ref="A97" authorId="2" shapeId="0" xr:uid="{5EEDB2F4-DD74-4AC8-84B9-3FCA1A4EA08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8" authorId="2" shapeId="0" xr:uid="{C8BC9198-6008-469A-A75F-224B8AE50B85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99" authorId="2" shapeId="0" xr:uid="{9DE41743-6A2A-48DB-9B34-C08958BC141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0" authorId="2" shapeId="0" xr:uid="{269665EA-E59D-4B04-9135-23FFC530D05C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1" authorId="2" shapeId="0" xr:uid="{B0DC9EC4-9F07-44F3-B31E-B24A7439332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2" authorId="2" shapeId="0" xr:uid="{9BEC0586-1737-48AE-A171-49948CF4130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3" authorId="2" shapeId="0" xr:uid="{39019444-A702-48D6-A927-22A8800C4FC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4" authorId="2" shapeId="0" xr:uid="{2190B65D-42A1-49A2-94F2-18E80EF9F444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5" authorId="2" shapeId="0" xr:uid="{6135AB9D-C6EC-4523-A820-1ACDE5F52AD0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6" authorId="2" shapeId="0" xr:uid="{8311FAAA-9073-4886-BEAA-B4FDC4BF0BB7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7" authorId="2" shapeId="0" xr:uid="{105A10E1-28E6-4C43-A25B-9D0CE5E971CB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8" authorId="2" shapeId="0" xr:uid="{BACBE3E4-2FAE-41DC-8D4C-93944601CF33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09" authorId="2" shapeId="0" xr:uid="{054FD323-68EA-4695-85A5-E8CCEEB6CF61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0" authorId="2" shapeId="0" xr:uid="{F549FEEB-BE9E-41C1-8792-0AE7D0585F2F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  <comment ref="A111" authorId="2" shapeId="0" xr:uid="{4A6D3CA1-E193-4F4E-B339-AAF370C986E6}">
      <text>
        <r>
          <rPr>
            <b/>
            <sz val="8"/>
            <color indexed="81"/>
            <rFont val="Calibri"/>
            <family val="2"/>
          </rPr>
          <t>Projektbezeichnungen müssen im Arbeitsblatt "Eingabeblatt" eingegeben werden.</t>
        </r>
      </text>
    </comment>
  </commentList>
</comments>
</file>

<file path=xl/sharedStrings.xml><?xml version="1.0" encoding="utf-8"?>
<sst xmlns="http://schemas.openxmlformats.org/spreadsheetml/2006/main" count="1308" uniqueCount="262">
  <si>
    <t>Ich habe diese Monatsrechnung kontrolliert und auf die Richtigkeit geprüft:</t>
  </si>
  <si>
    <t>Überzeit-Saldo</t>
  </si>
  <si>
    <t>Ferienanspruch</t>
  </si>
  <si>
    <t>Kompensationsanspruch</t>
  </si>
  <si>
    <t>Funktion</t>
  </si>
  <si>
    <t>Total</t>
  </si>
  <si>
    <t>Monat</t>
  </si>
  <si>
    <t>Überträge vom Vorjahr</t>
  </si>
  <si>
    <t>AZ-Saldo</t>
  </si>
  <si>
    <t>Kompensation ÜZ</t>
  </si>
  <si>
    <t>Ferien</t>
  </si>
  <si>
    <t>Arztbesuch</t>
  </si>
  <si>
    <t>Krankheit</t>
  </si>
  <si>
    <t>Berufsunfall</t>
  </si>
  <si>
    <t>Nichtberufsunfall</t>
  </si>
  <si>
    <t>Tag</t>
  </si>
  <si>
    <t>ein</t>
  </si>
  <si>
    <t>aus</t>
  </si>
  <si>
    <t>Kompensation AZ</t>
  </si>
  <si>
    <t>Genauer Kompensations-anspruch</t>
  </si>
  <si>
    <t>Rest</t>
  </si>
  <si>
    <t>Überträge auf das neue Jahr</t>
  </si>
  <si>
    <t>Total Arbeitszeit (IST)</t>
  </si>
  <si>
    <t>Jahresarbeitszeit kumuliert</t>
  </si>
  <si>
    <t>Projekte</t>
  </si>
  <si>
    <t>Projektart</t>
  </si>
  <si>
    <t>Bezeichnung</t>
  </si>
  <si>
    <t>-</t>
  </si>
  <si>
    <t>+</t>
  </si>
  <si>
    <t xml:space="preserve">Eingabeblatt </t>
  </si>
  <si>
    <t>Missbräuche haben Sanktionen zur Folge!</t>
  </si>
  <si>
    <t xml:space="preserve"> </t>
  </si>
  <si>
    <t>Überträge aus Vormonat</t>
  </si>
  <si>
    <t>Dienstaltersgeschenk (DAG)</t>
  </si>
  <si>
    <t>Soll-/Regelarbeitszeiten pro Monat</t>
  </si>
  <si>
    <t>Überträge</t>
  </si>
  <si>
    <t>Aktuelles Jahr</t>
  </si>
  <si>
    <t>Soll-Arbeitszeit Netto</t>
  </si>
  <si>
    <t>Summe</t>
  </si>
  <si>
    <t>Allgemeine Angaben</t>
  </si>
  <si>
    <t>Jährlicher Kompensationsanspruch in Stunden bei 100%</t>
  </si>
  <si>
    <t>Militär/Zivilschutz</t>
  </si>
  <si>
    <t>Weiterbildung</t>
  </si>
  <si>
    <t>Besoldeter Urlaub</t>
  </si>
  <si>
    <t>Unbesoldeter Urlaub</t>
  </si>
  <si>
    <t>Nebenbeschäftigung</t>
  </si>
  <si>
    <t>DAG</t>
  </si>
  <si>
    <t>Zuschlag 25%</t>
  </si>
  <si>
    <t>Kompensations-anspruch bei 100%</t>
  </si>
  <si>
    <t>Arbeitszeittabelle</t>
  </si>
  <si>
    <t>Angeordnete ÜZ</t>
  </si>
  <si>
    <t>Geburtsjahr</t>
  </si>
  <si>
    <t>Summe aller Projekte</t>
  </si>
  <si>
    <t>Ab 60. Altersjahr</t>
  </si>
  <si>
    <t>Alter in Jahren</t>
  </si>
  <si>
    <t>Total Arbeitszeit</t>
  </si>
  <si>
    <t>Genauer Ferienanspruch</t>
  </si>
  <si>
    <t>Alters-/Ferienanspruchberechnung</t>
  </si>
  <si>
    <t>Ab 50. Altersjahr</t>
  </si>
  <si>
    <t>Mehr-/Minusstunden</t>
  </si>
  <si>
    <t>Jahresanspruch</t>
  </si>
  <si>
    <t>Übertrag vom Vorjahr</t>
  </si>
  <si>
    <t>Datum und Unterschrift MA:</t>
  </si>
  <si>
    <t>Datum und Visum Vorgesetzte/r:</t>
  </si>
  <si>
    <t>Anzahl Monate, in denen gearbeitet wurde</t>
  </si>
  <si>
    <t>Durchschnittlicher BG</t>
  </si>
  <si>
    <t>Jährlicher Kompensationsanspruch in Stunden gem. BG</t>
  </si>
  <si>
    <t>Bemerkungen:</t>
  </si>
  <si>
    <t>Korrektur Ferien</t>
  </si>
  <si>
    <t>Jahr</t>
  </si>
  <si>
    <t>Name</t>
  </si>
  <si>
    <t>Geburtsdatum</t>
  </si>
  <si>
    <t>Total ÜZ inkl. Zuschläge</t>
  </si>
  <si>
    <t>Personalnummer</t>
  </si>
  <si>
    <t>Fakultät</t>
  </si>
  <si>
    <t>Personalkategorie</t>
  </si>
  <si>
    <t>Institut/Abt.</t>
  </si>
  <si>
    <t>Nachtdienst</t>
  </si>
  <si>
    <t>Bereitschaftsdienst</t>
  </si>
  <si>
    <t>Samstag-/Sonntagdienst</t>
  </si>
  <si>
    <t>Bis und mit 20. Altersjahr oder Lernende</t>
  </si>
  <si>
    <t>PSP-Element-Nr.</t>
  </si>
  <si>
    <t>Vertragsnummer</t>
  </si>
  <si>
    <t>Total Produktive Stunden</t>
  </si>
  <si>
    <t>Summe Total</t>
  </si>
  <si>
    <t>Projektverantw.</t>
  </si>
  <si>
    <t>%-Anstellung gem. Vertrag</t>
  </si>
  <si>
    <t>%-Anstellung gem. Ist-Stunden</t>
  </si>
  <si>
    <t>Lernende/r</t>
  </si>
  <si>
    <t>Frei-Tage</t>
  </si>
  <si>
    <t>Auswahl Personalkategorie</t>
  </si>
  <si>
    <t>Funktionsbeschreibung</t>
  </si>
  <si>
    <t>Angabe Institut/Abteilung</t>
  </si>
  <si>
    <t>Überarbeitet durch</t>
  </si>
  <si>
    <t>parzung GmbH</t>
  </si>
  <si>
    <t>parzung.ch</t>
  </si>
  <si>
    <t>Datum</t>
  </si>
  <si>
    <t>Tabellen</t>
  </si>
  <si>
    <t>Feiertage</t>
  </si>
  <si>
    <t>Ja / Nein</t>
  </si>
  <si>
    <t>Wochenarbeitszeit</t>
  </si>
  <si>
    <t>Regelarbeitszeit</t>
  </si>
  <si>
    <t>Montag</t>
  </si>
  <si>
    <t>Dienstag</t>
  </si>
  <si>
    <t>Mittwoch</t>
  </si>
  <si>
    <t>Donnerstag</t>
  </si>
  <si>
    <t>Freitag</t>
  </si>
  <si>
    <t>Samstag</t>
  </si>
  <si>
    <t>Sonntag</t>
  </si>
  <si>
    <t>Arbeitszeit IST</t>
  </si>
  <si>
    <t>Arbeitszeit in %</t>
  </si>
  <si>
    <t>Vorjahresüberträge berechnet</t>
  </si>
  <si>
    <t>Unterjähriger Eintritt</t>
  </si>
  <si>
    <t>Unterjähriger Austritt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</si>
  <si>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</si>
  <si>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</si>
  <si>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</si>
  <si>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</si>
  <si>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</si>
  <si>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</si>
  <si>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</si>
  <si>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</si>
  <si>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</si>
  <si>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</si>
  <si>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</si>
  <si>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</si>
  <si>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</si>
  <si>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</si>
  <si>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</si>
  <si>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</si>
  <si>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</si>
  <si>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</si>
  <si>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</si>
  <si>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</si>
  <si>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</si>
  <si>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</si>
  <si>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</si>
  <si>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</si>
  <si>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</si>
  <si>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Projektart Name</t>
  </si>
  <si>
    <t>Korr. Mehr-/ Minusstunden</t>
  </si>
  <si>
    <t>Monatliche Zeitgutschriften</t>
  </si>
  <si>
    <t>Monatl./Jährl. Projektauslastung</t>
  </si>
  <si>
    <t>Arbeitszeit SOLL 100%</t>
  </si>
  <si>
    <t>Produktive Stunden</t>
  </si>
  <si>
    <t>+/- SOLL/IST täglich</t>
  </si>
  <si>
    <t>Beschäftigungsgrad (BG) in %</t>
  </si>
  <si>
    <t>Projekt 1</t>
  </si>
  <si>
    <t>Projekt 2</t>
  </si>
  <si>
    <t>Soll-Arbeitszeit bei 100%</t>
  </si>
  <si>
    <t>Ferienanspruch bei 100%</t>
  </si>
  <si>
    <t>Beschäftigungsgrad % (BG)</t>
  </si>
  <si>
    <t>Soll-Arbeitszeit gem. BG</t>
  </si>
  <si>
    <t>Ferienanspruch gem. BG</t>
  </si>
  <si>
    <t>Kompensations-anspruch gem. BG</t>
  </si>
  <si>
    <t>Arbeitszeit SOLL gem. BG</t>
  </si>
  <si>
    <t>Summe 1. Halbjahr</t>
  </si>
  <si>
    <t>Summe 2. Halbjahr</t>
  </si>
  <si>
    <t>Jahresabrechnung</t>
  </si>
  <si>
    <t>Projektübersicht</t>
  </si>
  <si>
    <t>Projektübersicht (E-/Q-Projekte)</t>
  </si>
  <si>
    <t>Math.-Naturwissenschaften / Science</t>
  </si>
  <si>
    <t>Medizin / Medicine</t>
  </si>
  <si>
    <t>Philosophie / Arts and Social Sciences</t>
  </si>
  <si>
    <t>Theologie / Theology</t>
  </si>
  <si>
    <t>Vetsuisse</t>
  </si>
  <si>
    <t>Zentrale Dienste / Central Services</t>
  </si>
  <si>
    <t>Wissenschaftliche Mitarbeitende(r) / Academic associate</t>
  </si>
  <si>
    <t>Qualifikationsstelle / Junior academic position</t>
  </si>
  <si>
    <t>Drittmittel / Grants</t>
  </si>
  <si>
    <t>Nationalfonds / National Foundation</t>
  </si>
  <si>
    <t>E-/Q Projekte / E-/Q Projects</t>
  </si>
  <si>
    <t>Uni / University</t>
  </si>
  <si>
    <t>nicht definiert / non-defined</t>
  </si>
  <si>
    <t>Rechtswissenschaften / Law</t>
  </si>
  <si>
    <t>Wirtschaftwissenschaften / Business, Economics, Informatics</t>
  </si>
  <si>
    <t>Admin. und Techn. Personal / Admin. and techn. Staff</t>
  </si>
  <si>
    <t>Pikett</t>
  </si>
  <si>
    <t>B</t>
  </si>
  <si>
    <t>E</t>
  </si>
  <si>
    <t>Andere / Other</t>
  </si>
  <si>
    <t>Feiertaginfo</t>
  </si>
  <si>
    <t>Anzahl Piketttage</t>
  </si>
  <si>
    <t>bezahlte Pause ein</t>
  </si>
  <si>
    <t>bezahlte Pause aus</t>
  </si>
  <si>
    <t>Soll prod. Std. in % Anstellung</t>
  </si>
  <si>
    <t>Assistenzärztin/Assistenzarzt</t>
  </si>
  <si>
    <t>Oberärztin/Oberarzt</t>
  </si>
  <si>
    <t>Arbeitszeit Total Projekte</t>
  </si>
  <si>
    <t>Total ein/aus</t>
  </si>
  <si>
    <t>Total Pikett ein/aus</t>
  </si>
  <si>
    <t>Angestellt</t>
  </si>
  <si>
    <t>Ja/Nein Auswahl
(DE/EN)</t>
  </si>
  <si>
    <t>Pikett Bereitschaft Ja / Nein</t>
  </si>
  <si>
    <t>Zeitzuschlag Nachtdienst</t>
  </si>
  <si>
    <t>Kompensation ZZS Nachtdienst</t>
  </si>
  <si>
    <t>Abendarbeit</t>
  </si>
  <si>
    <t>Regelarbeitszeit (Info)</t>
  </si>
  <si>
    <t>Definierte Zeiten</t>
  </si>
  <si>
    <t>ab</t>
  </si>
  <si>
    <t>bis</t>
  </si>
  <si>
    <t>Definierte Abfragen</t>
  </si>
  <si>
    <t>50 Stundenwoche und Vetsuisse</t>
  </si>
  <si>
    <t>50 Stundenwoche ohne Vetsuisse</t>
  </si>
  <si>
    <t>Resultat</t>
  </si>
  <si>
    <t>Zähler Nachtdienst</t>
  </si>
  <si>
    <t>aktuelle Mehr-/Minusstunden</t>
  </si>
  <si>
    <t>Abfragewerte</t>
  </si>
  <si>
    <t>Grenze Ang.ÜZ 50_Vetsuisse</t>
  </si>
  <si>
    <t>Wert</t>
  </si>
  <si>
    <t>Ang.ÜZ 50_Vetsuisse orange</t>
  </si>
  <si>
    <t>Auswahl Fakultät</t>
  </si>
  <si>
    <t>Saldo Zähler Nachtdienst</t>
  </si>
  <si>
    <t>Arbeitstätigkeiten / Working Activities</t>
  </si>
  <si>
    <t>Differenz AZ - Projektart 6</t>
  </si>
  <si>
    <t>ø BG in %</t>
  </si>
  <si>
    <t>Nur für EU-Projekte</t>
  </si>
  <si>
    <t>+/- SOLL/IST monatlich</t>
  </si>
  <si>
    <t>Intern / FVH Assistierende(r) / Resident</t>
  </si>
  <si>
    <t>Total Pikettdienststunden</t>
  </si>
  <si>
    <t>ø Tagesarbeitszeit gem. BG</t>
  </si>
  <si>
    <t>ø Tagesarbeitszeit bei 100%</t>
  </si>
  <si>
    <t>Total Pikettstunden heute</t>
  </si>
  <si>
    <t>Total Pikettstunden gestern</t>
  </si>
  <si>
    <t>Überträge aus Folgemonat</t>
  </si>
  <si>
    <t>Total Pausen (ein aus/bez.)</t>
  </si>
  <si>
    <t>Pikettdienst bis Vetsuisse</t>
  </si>
  <si>
    <t>Start Gepl. Nachtdienst Ja/Nein</t>
  </si>
  <si>
    <t>Überzeitzuschlagsberechtigt</t>
  </si>
  <si>
    <t>Nein</t>
  </si>
  <si>
    <t>Total Mehr-/Minusstunden</t>
  </si>
  <si>
    <t>Geleistete/Kompensierte ÜZ</t>
  </si>
  <si>
    <t>Spez. Zähler</t>
  </si>
  <si>
    <t>in % der Arbeitszeit (ein/aus)</t>
  </si>
  <si>
    <t>Differenz</t>
  </si>
  <si>
    <t>DE</t>
  </si>
  <si>
    <t>+/- Stunden Regelarbeitszeit</t>
  </si>
  <si>
    <t>Überzeit</t>
  </si>
  <si>
    <t>Bereitschaft und Schichten</t>
  </si>
  <si>
    <t>Abwesenheiten</t>
  </si>
  <si>
    <t>BG</t>
  </si>
  <si>
    <t>Lohnklasse &gt; 16</t>
  </si>
  <si>
    <t>Weitere Angaben</t>
  </si>
  <si>
    <t>ServiceCenter Irchel</t>
  </si>
  <si>
    <t>ZZS Nachtdienst</t>
  </si>
  <si>
    <t>Total ND Stunden heute</t>
  </si>
  <si>
    <t>Total ND Stunden gestern</t>
  </si>
  <si>
    <t>Total ND Stunden</t>
  </si>
  <si>
    <t>Korrektur ÜZ</t>
  </si>
  <si>
    <t>Bitte geben Sie die genaue Projektbezeichnung an und definieren Sie die Projektart (1 = Drittmittel / Grants, 2 = Nationalfonds / National Foundation, 3 = E-/Q Projekte / E-/Q Projects, 4 = Uni / University, 5 = Andere / Other, 6 = Arbeitstätigkeiten / Working Activities, 7 = Entlastungszeit / Relief Time). Bitte lückenlose Auflistung.</t>
  </si>
  <si>
    <t>Entlastungszeit / Relief Time</t>
  </si>
  <si>
    <t>Palmisackerstr. 14</t>
  </si>
  <si>
    <t>8824 Schönenberg</t>
  </si>
  <si>
    <t>Regelarbeitszeit (ab Jan. resp. Eintritt)</t>
  </si>
  <si>
    <t>Bewilligungsfreier Feriensaldo</t>
  </si>
  <si>
    <t>Jährlicher Ferienanspruch in Tagen bei 100%</t>
  </si>
  <si>
    <t>Jährlicher Ferienanspruch in Tagen gem. BG</t>
  </si>
  <si>
    <t>Zuschläge
in Tagen</t>
  </si>
  <si>
    <t>Med. Mikrobiologie (Nachtdienst)</t>
  </si>
  <si>
    <t>Frei-Stunden (verfügt)</t>
  </si>
  <si>
    <t>12 2021</t>
  </si>
  <si>
    <t>Version 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</si>
</sst>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[h]\:mm;\-\ [h]\:mm;0\:00"/>
    <numFmt numFmtId="165" formatCode="yyyy"/>
    <numFmt numFmtId="166" formatCode="[h]\:mm;\-\ [h]\:mm;&quot;-     &quot;"/>
    <numFmt numFmtId="167" formatCode="dd/mm/yyyy;@"/>
    <numFmt numFmtId="168" formatCode="0_ ;\-0\ "/>
    <numFmt numFmtId="169" formatCode="mmmm"/>
    <numFmt numFmtId="170" formatCode="mmmm\ yyyy"/>
    <numFmt numFmtId="171" formatCode="d"/>
    <numFmt numFmtId="172" formatCode="ddd"/>
    <numFmt numFmtId="173" formatCode="ddd\ \-\ dd/mm/yyyy"/>
    <numFmt numFmtId="174" formatCode=";;;"/>
    <numFmt numFmtId="175" formatCode="__@"/>
    <numFmt numFmtId="176" formatCode="General;General;\-\ \ \ \ \ "/>
    <numFmt numFmtId="177" formatCode="[h]:mm;\-\ \ \ \ \ ;\-\ \ \ \ \ ;"/>
    <numFmt numFmtId="178" formatCode="[h]:mm;\-[h]:mm;\-\ \ \ \ \ ;"/>
    <numFmt numFmtId="179" formatCode="[h]\:mm;[h]\:mm;&quot;&quot;"/>
    <numFmt numFmtId="180" formatCode="0;\-0;;"/>
    <numFmt numFmtId="181" formatCode="&quot;ø &quot;0.00;\-0.00"/>
    <numFmt numFmtId="182" formatCode="[h]\:mm;\-[h]\:mm;&quot;-     &quot;"/>
  </numFmts>
  <fonts count="26" x14ac:knownFonts="1">
    <font>
      <sz val="10"/>
      <name val="Verdana"/>
    </font>
    <font>
      <u/>
      <sz val="10"/>
      <color indexed="12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1"/>
      <name val="Verdana"/>
      <family val="2"/>
    </font>
    <font>
      <sz val="8"/>
      <name val="Calibri"/>
      <family val="2"/>
      <scheme val="minor"/>
    </font>
    <font>
      <b/>
      <sz val="15"/>
      <color rgb="FF000080"/>
      <name val="Century Gothic"/>
      <family val="2"/>
    </font>
    <font>
      <sz val="8"/>
      <name val="Calibri"/>
      <family val="2"/>
    </font>
    <font>
      <u/>
      <sz val="8"/>
      <color theme="10"/>
      <name val="Calibri"/>
      <family val="2"/>
    </font>
    <font>
      <sz val="10"/>
      <name val="Verdana"/>
      <family val="2"/>
    </font>
    <font>
      <i/>
      <sz val="10"/>
      <name val="Arial"/>
      <family val="2"/>
    </font>
    <font>
      <b/>
      <sz val="10"/>
      <color rgb="FFFFFF99"/>
      <name val="Arial"/>
      <family val="2"/>
    </font>
    <font>
      <sz val="10"/>
      <color indexed="22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8"/>
      <color indexed="81"/>
      <name val="Calibri"/>
      <family val="2"/>
    </font>
    <font>
      <sz val="10"/>
      <color rgb="FFFFFFFF"/>
      <name val="Arial"/>
      <family val="2"/>
    </font>
    <font>
      <sz val="8"/>
      <color rgb="FF8DB4E2"/>
      <name val="Calibri"/>
      <family val="2"/>
      <scheme val="minor"/>
    </font>
    <font>
      <sz val="10"/>
      <color rgb="FFFF555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gradientFill degree="180">
        <stop position="0">
          <color rgb="FFFFFFFF"/>
        </stop>
        <stop position="1">
          <color rgb="FFE1E1E1"/>
        </stop>
      </gradient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D5B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9" fillId="0" borderId="0" applyAlignment="0"/>
    <xf numFmtId="0" fontId="9" fillId="0" borderId="0"/>
    <xf numFmtId="0" fontId="12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</cellStyleXfs>
  <cellXfs count="536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textRotation="90"/>
    </xf>
    <xf numFmtId="166" fontId="6" fillId="0" borderId="0" xfId="0" applyNumberFormat="1" applyFont="1" applyFill="1" applyBorder="1" applyProtection="1"/>
    <xf numFmtId="2" fontId="2" fillId="3" borderId="2" xfId="0" applyNumberFormat="1" applyFont="1" applyFill="1" applyBorder="1" applyAlignment="1" applyProtection="1">
      <alignment horizontal="right" vertical="center"/>
    </xf>
    <xf numFmtId="0" fontId="12" fillId="0" borderId="0" xfId="0" applyFont="1"/>
    <xf numFmtId="174" fontId="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168" fontId="9" fillId="3" borderId="2" xfId="0" applyNumberFormat="1" applyFont="1" applyFill="1" applyBorder="1" applyAlignment="1" applyProtection="1">
      <alignment vertical="center"/>
    </xf>
    <xf numFmtId="1" fontId="9" fillId="3" borderId="2" xfId="0" applyNumberFormat="1" applyFont="1" applyFill="1" applyBorder="1" applyAlignment="1" applyProtection="1">
      <alignment horizontal="right" vertical="center"/>
    </xf>
    <xf numFmtId="2" fontId="9" fillId="3" borderId="2" xfId="0" applyNumberFormat="1" applyFont="1" applyFill="1" applyBorder="1" applyAlignment="1" applyProtection="1">
      <alignment horizontal="right" vertical="center"/>
    </xf>
    <xf numFmtId="164" fontId="9" fillId="3" borderId="2" xfId="0" applyNumberFormat="1" applyFont="1" applyFill="1" applyBorder="1" applyAlignment="1" applyProtection="1">
      <alignment horizontal="right" vertical="center"/>
    </xf>
    <xf numFmtId="166" fontId="9" fillId="3" borderId="2" xfId="0" applyNumberFormat="1" applyFont="1" applyFill="1" applyBorder="1" applyAlignment="1" applyProtection="1">
      <alignment horizontal="right" vertical="center"/>
    </xf>
    <xf numFmtId="166" fontId="9" fillId="3" borderId="1" xfId="0" applyNumberFormat="1" applyFont="1" applyFill="1" applyBorder="1" applyAlignment="1" applyProtection="1">
      <alignment vertical="center"/>
    </xf>
    <xf numFmtId="166" fontId="9" fillId="3" borderId="1" xfId="0" applyNumberFormat="1" applyFont="1" applyFill="1" applyBorder="1" applyAlignment="1" applyProtection="1">
      <alignment horizontal="right" vertical="center"/>
    </xf>
    <xf numFmtId="166" fontId="9" fillId="3" borderId="4" xfId="0" applyNumberFormat="1" applyFont="1" applyFill="1" applyBorder="1" applyAlignment="1" applyProtection="1">
      <alignment vertical="center"/>
    </xf>
    <xf numFmtId="166" fontId="9" fillId="3" borderId="2" xfId="0" applyNumberFormat="1" applyFont="1" applyFill="1" applyBorder="1" applyAlignment="1" applyProtection="1">
      <alignment vertical="center"/>
    </xf>
    <xf numFmtId="2" fontId="9" fillId="0" borderId="2" xfId="0" applyNumberFormat="1" applyFont="1" applyFill="1" applyBorder="1" applyAlignment="1" applyProtection="1">
      <alignment vertical="center"/>
      <protection locked="0"/>
    </xf>
    <xf numFmtId="164" fontId="9" fillId="3" borderId="2" xfId="0" applyNumberFormat="1" applyFont="1" applyFill="1" applyBorder="1" applyAlignment="1" applyProtection="1">
      <alignment vertical="center"/>
    </xf>
    <xf numFmtId="164" fontId="9" fillId="3" borderId="1" xfId="0" applyNumberFormat="1" applyFont="1" applyFill="1" applyBorder="1" applyAlignment="1" applyProtection="1">
      <alignment vertical="center"/>
    </xf>
    <xf numFmtId="166" fontId="10" fillId="3" borderId="2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right" vertical="center"/>
      <protection locked="0"/>
    </xf>
    <xf numFmtId="166" fontId="9" fillId="0" borderId="4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/>
    <xf numFmtId="49" fontId="19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/>
    <xf numFmtId="49" fontId="19" fillId="0" borderId="0" xfId="0" applyNumberFormat="1" applyFont="1" applyFill="1" applyAlignment="1" applyProtection="1">
      <alignment horizontal="left"/>
    </xf>
    <xf numFmtId="0" fontId="16" fillId="0" borderId="0" xfId="0" applyFont="1" applyAlignment="1">
      <alignment vertical="center"/>
    </xf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horizontal="left" vertical="center"/>
      <protection locked="0"/>
    </xf>
    <xf numFmtId="164" fontId="9" fillId="0" borderId="14" xfId="0" applyNumberFormat="1" applyFont="1" applyFill="1" applyBorder="1" applyAlignment="1" applyProtection="1">
      <alignment vertical="center"/>
      <protection locked="0"/>
    </xf>
    <xf numFmtId="164" fontId="9" fillId="0" borderId="15" xfId="0" applyNumberFormat="1" applyFont="1" applyFill="1" applyBorder="1" applyAlignment="1" applyProtection="1">
      <alignment vertical="center"/>
      <protection locked="0"/>
    </xf>
    <xf numFmtId="164" fontId="9" fillId="2" borderId="1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Protection="1"/>
    <xf numFmtId="164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textRotation="90"/>
    </xf>
    <xf numFmtId="166" fontId="9" fillId="3" borderId="11" xfId="0" applyNumberFormat="1" applyFont="1" applyFill="1" applyBorder="1" applyAlignment="1" applyProtection="1">
      <alignment horizontal="right" vertical="center"/>
    </xf>
    <xf numFmtId="166" fontId="9" fillId="3" borderId="11" xfId="0" applyNumberFormat="1" applyFont="1" applyFill="1" applyBorder="1" applyAlignment="1" applyProtection="1">
      <alignment vertical="center"/>
    </xf>
    <xf numFmtId="166" fontId="9" fillId="3" borderId="11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horizontal="left" indent="1"/>
    </xf>
    <xf numFmtId="0" fontId="9" fillId="0" borderId="0" xfId="0" applyFont="1" applyFill="1" applyAlignment="1" applyProtection="1">
      <alignment horizontal="left" indent="1"/>
    </xf>
    <xf numFmtId="0" fontId="8" fillId="0" borderId="0" xfId="0" applyFont="1" applyFill="1" applyBorder="1" applyAlignment="1" applyProtection="1">
      <alignment vertical="center"/>
    </xf>
    <xf numFmtId="176" fontId="6" fillId="3" borderId="2" xfId="0" applyNumberFormat="1" applyFont="1" applyFill="1" applyBorder="1" applyAlignment="1" applyProtection="1">
      <alignment horizontal="right" vertical="center"/>
    </xf>
    <xf numFmtId="177" fontId="6" fillId="3" borderId="2" xfId="0" applyNumberFormat="1" applyFont="1" applyFill="1" applyBorder="1" applyAlignment="1" applyProtection="1">
      <alignment horizontal="right" vertical="center"/>
    </xf>
    <xf numFmtId="178" fontId="6" fillId="3" borderId="2" xfId="0" applyNumberFormat="1" applyFont="1" applyFill="1" applyBorder="1" applyAlignment="1" applyProtection="1">
      <alignment horizontal="right" vertical="center"/>
    </xf>
    <xf numFmtId="177" fontId="9" fillId="3" borderId="2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7" fontId="9" fillId="0" borderId="1" xfId="0" applyNumberFormat="1" applyFont="1" applyFill="1" applyBorder="1" applyAlignment="1" applyProtection="1">
      <alignment horizontal="left" vertical="center" indent="1"/>
      <protection locked="0"/>
    </xf>
    <xf numFmtId="165" fontId="9" fillId="3" borderId="2" xfId="0" applyNumberFormat="1" applyFont="1" applyFill="1" applyBorder="1" applyAlignment="1" applyProtection="1">
      <alignment horizontal="left" vertical="center" indent="1"/>
    </xf>
    <xf numFmtId="49" fontId="9" fillId="0" borderId="2" xfId="0" applyNumberFormat="1" applyFont="1" applyFill="1" applyBorder="1" applyAlignment="1" applyProtection="1">
      <alignment horizontal="left" vertical="center" indent="1"/>
      <protection locked="0"/>
    </xf>
    <xf numFmtId="167" fontId="12" fillId="0" borderId="0" xfId="0" applyNumberFormat="1" applyFont="1"/>
    <xf numFmtId="164" fontId="9" fillId="2" borderId="14" xfId="0" applyNumberFormat="1" applyFont="1" applyFill="1" applyBorder="1" applyAlignment="1" applyProtection="1">
      <alignment horizontal="right" vertical="center"/>
      <protection locked="0"/>
    </xf>
    <xf numFmtId="2" fontId="9" fillId="0" borderId="4" xfId="0" applyNumberFormat="1" applyFont="1" applyFill="1" applyBorder="1" applyAlignment="1" applyProtection="1">
      <alignment horizontal="left" vertical="center" indent="1"/>
      <protection locked="0"/>
    </xf>
    <xf numFmtId="167" fontId="9" fillId="0" borderId="2" xfId="0" applyNumberFormat="1" applyFont="1" applyFill="1" applyBorder="1" applyAlignment="1" applyProtection="1">
      <alignment horizontal="left" vertical="center" indent="1"/>
      <protection locked="0"/>
    </xf>
    <xf numFmtId="178" fontId="9" fillId="0" borderId="1" xfId="0" applyNumberFormat="1" applyFont="1" applyFill="1" applyBorder="1" applyAlignment="1" applyProtection="1">
      <alignment horizontal="left" vertical="center" indent="1"/>
      <protection locked="0"/>
    </xf>
    <xf numFmtId="164" fontId="9" fillId="0" borderId="6" xfId="0" applyNumberFormat="1" applyFont="1" applyFill="1" applyBorder="1" applyAlignment="1" applyProtection="1">
      <alignment vertical="center"/>
      <protection locked="0"/>
    </xf>
    <xf numFmtId="178" fontId="9" fillId="3" borderId="2" xfId="0" applyNumberFormat="1" applyFont="1" applyFill="1" applyBorder="1" applyAlignment="1" applyProtection="1">
      <alignment vertical="center"/>
    </xf>
    <xf numFmtId="178" fontId="9" fillId="3" borderId="13" xfId="0" applyNumberFormat="1" applyFont="1" applyFill="1" applyBorder="1" applyAlignment="1" applyProtection="1">
      <alignment vertical="center"/>
    </xf>
    <xf numFmtId="178" fontId="9" fillId="3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2" xfId="0" applyNumberFormat="1" applyFont="1" applyFill="1" applyBorder="1" applyAlignment="1" applyProtection="1">
      <alignment horizontal="right" vertical="center"/>
    </xf>
    <xf numFmtId="9" fontId="9" fillId="3" borderId="2" xfId="0" applyNumberFormat="1" applyFont="1" applyFill="1" applyBorder="1" applyAlignment="1" applyProtection="1">
      <alignment horizontal="right" vertical="center"/>
    </xf>
    <xf numFmtId="166" fontId="9" fillId="3" borderId="2" xfId="0" applyNumberFormat="1" applyFont="1" applyFill="1" applyBorder="1" applyAlignment="1" applyProtection="1"/>
    <xf numFmtId="2" fontId="9" fillId="3" borderId="2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horizontal="right" vertical="center"/>
      <protection locked="0"/>
    </xf>
    <xf numFmtId="166" fontId="9" fillId="0" borderId="14" xfId="0" applyNumberFormat="1" applyFont="1" applyFill="1" applyBorder="1" applyAlignment="1" applyProtection="1">
      <alignment vertical="center"/>
      <protection locked="0"/>
    </xf>
    <xf numFmtId="166" fontId="9" fillId="0" borderId="3" xfId="0" applyNumberFormat="1" applyFont="1" applyFill="1" applyBorder="1" applyAlignment="1" applyProtection="1">
      <alignment vertical="center"/>
      <protection locked="0"/>
    </xf>
    <xf numFmtId="166" fontId="9" fillId="3" borderId="18" xfId="0" applyNumberFormat="1" applyFont="1" applyFill="1" applyBorder="1" applyAlignment="1" applyProtection="1">
      <alignment horizontal="right" vertical="center"/>
    </xf>
    <xf numFmtId="2" fontId="6" fillId="3" borderId="2" xfId="0" applyNumberFormat="1" applyFont="1" applyFill="1" applyBorder="1" applyAlignment="1" applyProtection="1">
      <alignment horizontal="left" vertical="center" indent="1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indent="1"/>
      <protection locked="0"/>
    </xf>
    <xf numFmtId="0" fontId="9" fillId="0" borderId="2" xfId="0" applyFont="1" applyFill="1" applyBorder="1" applyAlignment="1" applyProtection="1">
      <alignment horizontal="left" vertical="center" indent="1"/>
      <protection locked="0"/>
    </xf>
    <xf numFmtId="2" fontId="6" fillId="3" borderId="2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indent="1"/>
      <protection locked="0"/>
    </xf>
    <xf numFmtId="2" fontId="0" fillId="0" borderId="0" xfId="0" applyNumberFormat="1" applyAlignment="1">
      <alignment vertical="center"/>
    </xf>
    <xf numFmtId="2" fontId="12" fillId="0" borderId="0" xfId="0" applyNumberFormat="1" applyFont="1"/>
    <xf numFmtId="49" fontId="20" fillId="4" borderId="2" xfId="0" applyNumberFormat="1" applyFont="1" applyFill="1" applyBorder="1" applyAlignment="1" applyProtection="1">
      <alignment horizontal="left" vertical="center" indent="1"/>
    </xf>
    <xf numFmtId="1" fontId="20" fillId="4" borderId="3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right" vertical="center"/>
    </xf>
    <xf numFmtId="0" fontId="10" fillId="4" borderId="4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horizontal="left" vertical="center" indent="1"/>
    </xf>
    <xf numFmtId="0" fontId="9" fillId="4" borderId="0" xfId="0" applyFont="1" applyFill="1" applyBorder="1" applyAlignment="1" applyProtection="1">
      <alignment horizontal="left" vertical="center"/>
    </xf>
    <xf numFmtId="164" fontId="10" fillId="4" borderId="0" xfId="0" applyNumberFormat="1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horizontal="left" vertical="center" indent="1"/>
    </xf>
    <xf numFmtId="0" fontId="10" fillId="4" borderId="0" xfId="0" applyFont="1" applyFill="1" applyBorder="1" applyAlignment="1" applyProtection="1">
      <alignment horizontal="left" vertical="center"/>
    </xf>
    <xf numFmtId="14" fontId="9" fillId="4" borderId="0" xfId="0" applyNumberFormat="1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horizontal="left" vertical="center" indent="1"/>
    </xf>
    <xf numFmtId="0" fontId="9" fillId="4" borderId="2" xfId="0" applyFont="1" applyFill="1" applyBorder="1" applyAlignment="1" applyProtection="1">
      <alignment vertical="center"/>
    </xf>
    <xf numFmtId="167" fontId="23" fillId="0" borderId="2" xfId="0" applyNumberFormat="1" applyFont="1" applyFill="1" applyBorder="1" applyAlignment="1" applyProtection="1">
      <alignment horizontal="left" vertical="center" indent="1"/>
      <protection locked="0"/>
    </xf>
    <xf numFmtId="0" fontId="17" fillId="4" borderId="1" xfId="0" applyFont="1" applyFill="1" applyBorder="1" applyAlignment="1" applyProtection="1">
      <alignment horizontal="left" vertical="center" indent="1"/>
    </xf>
    <xf numFmtId="0" fontId="9" fillId="4" borderId="4" xfId="0" applyFont="1" applyFill="1" applyBorder="1" applyAlignment="1" applyProtection="1">
      <alignment vertical="center"/>
    </xf>
    <xf numFmtId="174" fontId="9" fillId="4" borderId="0" xfId="0" applyNumberFormat="1" applyFont="1" applyFill="1" applyBorder="1" applyAlignment="1" applyProtection="1">
      <alignment horizontal="left" vertical="center"/>
    </xf>
    <xf numFmtId="166" fontId="10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1" fontId="9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9" fillId="4" borderId="0" xfId="0" applyFont="1" applyFill="1" applyBorder="1" applyProtection="1"/>
    <xf numFmtId="49" fontId="9" fillId="4" borderId="0" xfId="0" applyNumberFormat="1" applyFont="1" applyFill="1" applyBorder="1" applyAlignment="1" applyProtection="1">
      <alignment horizontal="right"/>
    </xf>
    <xf numFmtId="0" fontId="9" fillId="4" borderId="7" xfId="0" applyFont="1" applyFill="1" applyBorder="1" applyProtection="1"/>
    <xf numFmtId="0" fontId="9" fillId="4" borderId="0" xfId="0" applyFont="1" applyFill="1" applyProtection="1"/>
    <xf numFmtId="0" fontId="10" fillId="4" borderId="10" xfId="0" applyFont="1" applyFill="1" applyBorder="1" applyAlignment="1" applyProtection="1">
      <alignment horizontal="left" vertical="center" indent="1"/>
    </xf>
    <xf numFmtId="0" fontId="9" fillId="4" borderId="10" xfId="0" applyFont="1" applyFill="1" applyBorder="1" applyAlignment="1" applyProtection="1">
      <alignment vertical="center" wrapText="1"/>
    </xf>
    <xf numFmtId="49" fontId="9" fillId="4" borderId="10" xfId="0" applyNumberFormat="1" applyFont="1" applyFill="1" applyBorder="1" applyAlignment="1" applyProtection="1">
      <alignment horizontal="right" vertical="center" wrapText="1"/>
    </xf>
    <xf numFmtId="164" fontId="10" fillId="4" borderId="1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 wrapText="1"/>
    </xf>
    <xf numFmtId="165" fontId="9" fillId="4" borderId="0" xfId="0" applyNumberFormat="1" applyFont="1" applyFill="1" applyBorder="1" applyAlignment="1" applyProtection="1">
      <alignment vertical="center" wrapText="1"/>
    </xf>
    <xf numFmtId="165" fontId="9" fillId="4" borderId="0" xfId="0" applyNumberFormat="1" applyFont="1" applyFill="1" applyAlignment="1" applyProtection="1">
      <alignment vertical="center" wrapText="1"/>
    </xf>
    <xf numFmtId="49" fontId="9" fillId="4" borderId="0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 vertical="center" indent="1"/>
    </xf>
    <xf numFmtId="164" fontId="9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9" fillId="4" borderId="7" xfId="0" applyFont="1" applyFill="1" applyBorder="1" applyAlignment="1" applyProtection="1">
      <alignment vertical="center"/>
    </xf>
    <xf numFmtId="49" fontId="9" fillId="4" borderId="7" xfId="0" applyNumberFormat="1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 indent="1"/>
    </xf>
    <xf numFmtId="1" fontId="9" fillId="4" borderId="11" xfId="0" applyNumberFormat="1" applyFont="1" applyFill="1" applyBorder="1" applyAlignment="1" applyProtection="1">
      <alignment vertical="center"/>
    </xf>
    <xf numFmtId="2" fontId="9" fillId="4" borderId="11" xfId="0" applyNumberFormat="1" applyFont="1" applyFill="1" applyBorder="1" applyAlignment="1" applyProtection="1">
      <alignment vertical="center"/>
    </xf>
    <xf numFmtId="0" fontId="10" fillId="5" borderId="5" xfId="0" applyFont="1" applyFill="1" applyBorder="1" applyAlignment="1" applyProtection="1">
      <alignment horizontal="right" wrapText="1" indent="1"/>
    </xf>
    <xf numFmtId="0" fontId="10" fillId="5" borderId="11" xfId="0" applyFont="1" applyFill="1" applyBorder="1" applyAlignment="1" applyProtection="1">
      <alignment horizontal="right" wrapText="1"/>
    </xf>
    <xf numFmtId="0" fontId="10" fillId="5" borderId="12" xfId="0" applyFont="1" applyFill="1" applyBorder="1" applyAlignment="1" applyProtection="1">
      <alignment horizontal="right" wrapText="1"/>
    </xf>
    <xf numFmtId="0" fontId="10" fillId="4" borderId="0" xfId="0" applyFont="1" applyFill="1" applyBorder="1" applyAlignment="1" applyProtection="1">
      <alignment wrapText="1"/>
    </xf>
    <xf numFmtId="0" fontId="10" fillId="5" borderId="2" xfId="0" applyFont="1" applyFill="1" applyBorder="1" applyAlignment="1" applyProtection="1">
      <alignment horizontal="right" wrapText="1"/>
    </xf>
    <xf numFmtId="0" fontId="10" fillId="5" borderId="1" xfId="0" applyFont="1" applyFill="1" applyBorder="1" applyAlignment="1" applyProtection="1">
      <alignment horizontal="right" wrapText="1"/>
    </xf>
    <xf numFmtId="169" fontId="10" fillId="5" borderId="1" xfId="0" applyNumberFormat="1" applyFont="1" applyFill="1" applyBorder="1" applyAlignment="1" applyProtection="1">
      <alignment horizontal="right" vertical="center" indent="1"/>
    </xf>
    <xf numFmtId="2" fontId="9" fillId="6" borderId="2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right" vertical="center" indent="1"/>
    </xf>
    <xf numFmtId="166" fontId="10" fillId="7" borderId="2" xfId="0" applyNumberFormat="1" applyFont="1" applyFill="1" applyBorder="1" applyAlignment="1" applyProtection="1">
      <alignment vertical="center"/>
    </xf>
    <xf numFmtId="166" fontId="10" fillId="4" borderId="0" xfId="0" applyNumberFormat="1" applyFont="1" applyFill="1" applyBorder="1" applyAlignment="1" applyProtection="1">
      <alignment horizontal="right" vertical="center"/>
    </xf>
    <xf numFmtId="2" fontId="10" fillId="7" borderId="2" xfId="0" applyNumberFormat="1" applyFont="1" applyFill="1" applyBorder="1" applyAlignment="1" applyProtection="1">
      <alignment horizontal="right" vertical="center"/>
    </xf>
    <xf numFmtId="1" fontId="9" fillId="7" borderId="2" xfId="0" applyNumberFormat="1" applyFont="1" applyFill="1" applyBorder="1" applyAlignment="1" applyProtection="1">
      <alignment vertical="center"/>
    </xf>
    <xf numFmtId="49" fontId="9" fillId="4" borderId="0" xfId="0" applyNumberFormat="1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center" vertical="top" wrapText="1"/>
    </xf>
    <xf numFmtId="0" fontId="21" fillId="4" borderId="0" xfId="0" applyFont="1" applyFill="1" applyAlignment="1" applyProtection="1">
      <alignment horizontal="left" indent="1"/>
    </xf>
    <xf numFmtId="0" fontId="10" fillId="4" borderId="0" xfId="0" applyFont="1" applyFill="1" applyProtection="1"/>
    <xf numFmtId="49" fontId="10" fillId="4" borderId="0" xfId="0" applyNumberFormat="1" applyFont="1" applyFill="1" applyAlignment="1" applyProtection="1">
      <alignment horizontal="right"/>
    </xf>
    <xf numFmtId="0" fontId="10" fillId="4" borderId="12" xfId="0" applyFont="1" applyFill="1" applyBorder="1" applyAlignment="1" applyProtection="1">
      <alignment horizontal="center" wrapText="1"/>
    </xf>
    <xf numFmtId="0" fontId="10" fillId="5" borderId="13" xfId="0" applyFont="1" applyFill="1" applyBorder="1" applyAlignment="1" applyProtection="1">
      <alignment horizontal="right" wrapText="1"/>
    </xf>
    <xf numFmtId="0" fontId="9" fillId="4" borderId="0" xfId="0" applyFont="1" applyFill="1" applyBorder="1" applyAlignment="1" applyProtection="1">
      <alignment wrapText="1"/>
    </xf>
    <xf numFmtId="0" fontId="9" fillId="5" borderId="2" xfId="0" applyFont="1" applyFill="1" applyBorder="1" applyAlignment="1" applyProtection="1">
      <alignment horizontal="right" wrapText="1"/>
    </xf>
    <xf numFmtId="0" fontId="9" fillId="4" borderId="0" xfId="0" applyFont="1" applyFill="1" applyAlignment="1" applyProtection="1">
      <alignment wrapText="1"/>
    </xf>
    <xf numFmtId="0" fontId="10" fillId="5" borderId="1" xfId="0" applyFont="1" applyFill="1" applyBorder="1" applyAlignment="1" applyProtection="1">
      <alignment horizontal="right" vertical="center" indent="1"/>
    </xf>
    <xf numFmtId="166" fontId="10" fillId="7" borderId="4" xfId="0" applyNumberFormat="1" applyFont="1" applyFill="1" applyBorder="1" applyAlignment="1" applyProtection="1">
      <alignment vertical="center"/>
    </xf>
    <xf numFmtId="0" fontId="9" fillId="4" borderId="5" xfId="0" applyNumberFormat="1" applyFont="1" applyFill="1" applyBorder="1" applyAlignment="1" applyProtection="1">
      <alignment horizontal="right" vertical="center" wrapText="1"/>
    </xf>
    <xf numFmtId="0" fontId="9" fillId="4" borderId="12" xfId="0" applyNumberFormat="1" applyFont="1" applyFill="1" applyBorder="1" applyAlignment="1" applyProtection="1">
      <alignment horizontal="left" vertical="center" wrapText="1"/>
    </xf>
    <xf numFmtId="164" fontId="10" fillId="5" borderId="2" xfId="0" applyNumberFormat="1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horizontal="right" vertical="center" indent="1"/>
    </xf>
    <xf numFmtId="166" fontId="10" fillId="7" borderId="14" xfId="0" applyNumberFormat="1" applyFont="1" applyFill="1" applyBorder="1" applyAlignment="1" applyProtection="1">
      <alignment vertical="center"/>
    </xf>
    <xf numFmtId="166" fontId="9" fillId="8" borderId="16" xfId="0" applyNumberFormat="1" applyFont="1" applyFill="1" applyBorder="1" applyAlignment="1" applyProtection="1">
      <alignment horizontal="right" vertical="center"/>
    </xf>
    <xf numFmtId="166" fontId="10" fillId="7" borderId="11" xfId="0" applyNumberFormat="1" applyFont="1" applyFill="1" applyBorder="1" applyAlignment="1" applyProtection="1">
      <alignment vertical="center"/>
    </xf>
    <xf numFmtId="164" fontId="18" fillId="4" borderId="0" xfId="0" applyNumberFormat="1" applyFont="1" applyFill="1" applyBorder="1" applyAlignment="1" applyProtection="1">
      <alignment vertical="center"/>
    </xf>
    <xf numFmtId="166" fontId="9" fillId="6" borderId="2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Protection="1"/>
    <xf numFmtId="166" fontId="23" fillId="0" borderId="0" xfId="0" applyNumberFormat="1" applyFont="1" applyFill="1" applyProtection="1"/>
    <xf numFmtId="170" fontId="20" fillId="4" borderId="1" xfId="0" applyNumberFormat="1" applyFont="1" applyFill="1" applyBorder="1" applyAlignment="1" applyProtection="1">
      <alignment horizontal="right" vertical="center" indent="1"/>
    </xf>
    <xf numFmtId="1" fontId="10" fillId="4" borderId="3" xfId="0" applyNumberFormat="1" applyFont="1" applyFill="1" applyBorder="1" applyAlignment="1" applyProtection="1">
      <alignment vertical="center"/>
    </xf>
    <xf numFmtId="1" fontId="10" fillId="4" borderId="3" xfId="0" applyNumberFormat="1" applyFont="1" applyFill="1" applyBorder="1" applyAlignment="1" applyProtection="1">
      <alignment horizontal="right" vertical="center"/>
    </xf>
    <xf numFmtId="0" fontId="10" fillId="4" borderId="3" xfId="0" applyFont="1" applyFill="1" applyBorder="1" applyAlignment="1" applyProtection="1">
      <alignment horizontal="left" vertical="center"/>
    </xf>
    <xf numFmtId="49" fontId="10" fillId="4" borderId="3" xfId="0" applyNumberFormat="1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center"/>
    </xf>
    <xf numFmtId="2" fontId="9" fillId="4" borderId="10" xfId="0" applyNumberFormat="1" applyFont="1" applyFill="1" applyBorder="1" applyAlignment="1" applyProtection="1">
      <alignment horizontal="right" vertical="center"/>
    </xf>
    <xf numFmtId="49" fontId="9" fillId="4" borderId="0" xfId="0" applyNumberFormat="1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 indent="1"/>
    </xf>
    <xf numFmtId="166" fontId="9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172" fontId="10" fillId="5" borderId="2" xfId="0" applyNumberFormat="1" applyFont="1" applyFill="1" applyBorder="1" applyAlignment="1" applyProtection="1">
      <alignment horizontal="center" vertical="center" wrapText="1"/>
    </xf>
    <xf numFmtId="166" fontId="9" fillId="6" borderId="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right" vertical="center" wrapText="1"/>
    </xf>
    <xf numFmtId="171" fontId="10" fillId="5" borderId="2" xfId="0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2" fontId="10" fillId="5" borderId="13" xfId="0" applyNumberFormat="1" applyFont="1" applyFill="1" applyBorder="1" applyAlignment="1" applyProtection="1">
      <alignment horizontal="center" vertical="center" wrapText="1"/>
    </xf>
    <xf numFmtId="2" fontId="10" fillId="5" borderId="2" xfId="0" applyNumberFormat="1" applyFont="1" applyFill="1" applyBorder="1" applyAlignment="1" applyProtection="1">
      <alignment horizontal="center" vertical="center" wrapText="1"/>
    </xf>
    <xf numFmtId="2" fontId="10" fillId="5" borderId="1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left" vertical="center" indent="1"/>
    </xf>
    <xf numFmtId="164" fontId="10" fillId="4" borderId="9" xfId="0" applyNumberFormat="1" applyFont="1" applyFill="1" applyBorder="1" applyAlignment="1" applyProtection="1">
      <alignment vertical="center"/>
    </xf>
    <xf numFmtId="0" fontId="10" fillId="4" borderId="9" xfId="0" applyNumberFormat="1" applyFont="1" applyFill="1" applyBorder="1" applyAlignment="1" applyProtection="1">
      <alignment vertical="center"/>
    </xf>
    <xf numFmtId="164" fontId="10" fillId="4" borderId="6" xfId="0" applyNumberFormat="1" applyFont="1" applyFill="1" applyBorder="1" applyAlignment="1" applyProtection="1">
      <alignment vertical="center"/>
    </xf>
    <xf numFmtId="164" fontId="9" fillId="4" borderId="6" xfId="0" applyNumberFormat="1" applyFont="1" applyFill="1" applyBorder="1" applyAlignment="1" applyProtection="1">
      <alignment vertical="center"/>
    </xf>
    <xf numFmtId="0" fontId="10" fillId="5" borderId="13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right" vertical="center" indent="1"/>
    </xf>
    <xf numFmtId="164" fontId="9" fillId="4" borderId="9" xfId="0" applyNumberFormat="1" applyFont="1" applyFill="1" applyBorder="1" applyAlignment="1" applyProtection="1">
      <alignment vertical="center"/>
    </xf>
    <xf numFmtId="0" fontId="9" fillId="4" borderId="9" xfId="0" applyNumberFormat="1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right" vertical="center" indent="1"/>
    </xf>
    <xf numFmtId="178" fontId="9" fillId="8" borderId="2" xfId="0" applyNumberFormat="1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left" vertical="center" indent="1"/>
    </xf>
    <xf numFmtId="49" fontId="9" fillId="4" borderId="3" xfId="0" applyNumberFormat="1" applyFont="1" applyFill="1" applyBorder="1" applyAlignment="1" applyProtection="1">
      <alignment horizontal="left" vertical="center"/>
    </xf>
    <xf numFmtId="164" fontId="9" fillId="8" borderId="4" xfId="0" applyNumberFormat="1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horizontal="right" vertical="center" indent="1"/>
    </xf>
    <xf numFmtId="164" fontId="9" fillId="4" borderId="7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164" fontId="9" fillId="4" borderId="3" xfId="0" applyNumberFormat="1" applyFont="1" applyFill="1" applyBorder="1" applyAlignment="1" applyProtection="1">
      <alignment vertical="center"/>
    </xf>
    <xf numFmtId="164" fontId="9" fillId="4" borderId="4" xfId="0" applyNumberFormat="1" applyFont="1" applyFill="1" applyBorder="1" applyAlignment="1" applyProtection="1">
      <alignment vertical="center"/>
    </xf>
    <xf numFmtId="178" fontId="9" fillId="8" borderId="13" xfId="0" applyNumberFormat="1" applyFont="1" applyFill="1" applyBorder="1" applyAlignment="1" applyProtection="1">
      <alignment vertical="center"/>
    </xf>
    <xf numFmtId="164" fontId="9" fillId="4" borderId="10" xfId="0" applyNumberFormat="1" applyFont="1" applyFill="1" applyBorder="1" applyAlignment="1" applyProtection="1">
      <alignment vertical="center"/>
    </xf>
    <xf numFmtId="164" fontId="9" fillId="4" borderId="14" xfId="0" applyNumberFormat="1" applyFont="1" applyFill="1" applyBorder="1" applyAlignment="1" applyProtection="1">
      <alignment vertical="center"/>
    </xf>
    <xf numFmtId="49" fontId="9" fillId="4" borderId="1" xfId="0" applyNumberFormat="1" applyFont="1" applyFill="1" applyBorder="1" applyAlignment="1" applyProtection="1">
      <alignment horizontal="left" vertical="center"/>
    </xf>
    <xf numFmtId="0" fontId="9" fillId="9" borderId="2" xfId="0" applyNumberFormat="1" applyFont="1" applyFill="1" applyBorder="1" applyAlignment="1" applyProtection="1">
      <alignment horizontal="right" vertical="center"/>
    </xf>
    <xf numFmtId="164" fontId="9" fillId="6" borderId="4" xfId="0" applyNumberFormat="1" applyFont="1" applyFill="1" applyBorder="1" applyAlignment="1" applyProtection="1">
      <alignment vertical="center"/>
      <protection locked="0"/>
    </xf>
    <xf numFmtId="0" fontId="9" fillId="4" borderId="5" xfId="0" applyFont="1" applyFill="1" applyBorder="1" applyAlignment="1" applyProtection="1">
      <alignment horizontal="right" vertical="center" indent="1"/>
    </xf>
    <xf numFmtId="0" fontId="9" fillId="4" borderId="11" xfId="0" applyFont="1" applyFill="1" applyBorder="1" applyAlignment="1" applyProtection="1">
      <alignment horizontal="left" vertical="center" indent="1"/>
    </xf>
    <xf numFmtId="49" fontId="9" fillId="4" borderId="7" xfId="0" applyNumberFormat="1" applyFont="1" applyFill="1" applyBorder="1" applyAlignment="1" applyProtection="1">
      <alignment horizontal="left" vertical="center"/>
    </xf>
    <xf numFmtId="178" fontId="9" fillId="7" borderId="13" xfId="0" applyNumberFormat="1" applyFont="1" applyFill="1" applyBorder="1" applyAlignment="1" applyProtection="1">
      <alignment vertical="center"/>
    </xf>
    <xf numFmtId="178" fontId="9" fillId="7" borderId="11" xfId="0" applyNumberFormat="1" applyFont="1" applyFill="1" applyBorder="1" applyAlignment="1" applyProtection="1">
      <alignment vertical="center"/>
    </xf>
    <xf numFmtId="178" fontId="9" fillId="7" borderId="2" xfId="0" applyNumberFormat="1" applyFont="1" applyFill="1" applyBorder="1" applyAlignment="1" applyProtection="1">
      <alignment vertical="center"/>
    </xf>
    <xf numFmtId="178" fontId="9" fillId="7" borderId="1" xfId="0" applyNumberFormat="1" applyFont="1" applyFill="1" applyBorder="1" applyAlignment="1" applyProtection="1">
      <alignment vertical="center"/>
    </xf>
    <xf numFmtId="164" fontId="9" fillId="7" borderId="4" xfId="0" applyNumberFormat="1" applyFont="1" applyFill="1" applyBorder="1" applyAlignment="1" applyProtection="1">
      <alignment vertical="center"/>
    </xf>
    <xf numFmtId="0" fontId="9" fillId="4" borderId="13" xfId="0" applyFont="1" applyFill="1" applyBorder="1" applyAlignment="1" applyProtection="1">
      <alignment horizontal="left" vertical="center" indent="1"/>
    </xf>
    <xf numFmtId="178" fontId="9" fillId="9" borderId="2" xfId="0" applyNumberFormat="1" applyFont="1" applyFill="1" applyBorder="1" applyAlignment="1" applyProtection="1">
      <alignment vertical="center"/>
    </xf>
    <xf numFmtId="178" fontId="9" fillId="9" borderId="13" xfId="0" applyNumberFormat="1" applyFont="1" applyFill="1" applyBorder="1" applyAlignment="1" applyProtection="1">
      <alignment vertical="center"/>
    </xf>
    <xf numFmtId="178" fontId="9" fillId="9" borderId="1" xfId="0" applyNumberFormat="1" applyFont="1" applyFill="1" applyBorder="1" applyAlignment="1" applyProtection="1">
      <alignment vertical="center"/>
    </xf>
    <xf numFmtId="0" fontId="9" fillId="4" borderId="6" xfId="0" quotePrefix="1" applyFont="1" applyFill="1" applyBorder="1" applyAlignment="1" applyProtection="1">
      <alignment horizontal="right" vertical="center" indent="1"/>
    </xf>
    <xf numFmtId="164" fontId="9" fillId="9" borderId="4" xfId="0" applyNumberFormat="1" applyFont="1" applyFill="1" applyBorder="1" applyAlignment="1" applyProtection="1">
      <alignment vertical="center"/>
    </xf>
    <xf numFmtId="164" fontId="10" fillId="7" borderId="2" xfId="0" applyNumberFormat="1" applyFont="1" applyFill="1" applyBorder="1" applyAlignment="1" applyProtection="1">
      <alignment vertical="center"/>
    </xf>
    <xf numFmtId="182" fontId="9" fillId="9" borderId="2" xfId="0" applyNumberFormat="1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horizontal="right" wrapText="1" indent="1"/>
    </xf>
    <xf numFmtId="164" fontId="9" fillId="4" borderId="0" xfId="0" applyNumberFormat="1" applyFont="1" applyFill="1" applyBorder="1" applyAlignment="1" applyProtection="1">
      <alignment wrapText="1"/>
    </xf>
    <xf numFmtId="1" fontId="9" fillId="4" borderId="0" xfId="0" applyNumberFormat="1" applyFont="1" applyFill="1" applyBorder="1" applyAlignment="1" applyProtection="1">
      <alignment wrapText="1"/>
    </xf>
    <xf numFmtId="166" fontId="9" fillId="4" borderId="10" xfId="0" applyNumberFormat="1" applyFont="1" applyFill="1" applyBorder="1" applyAlignment="1" applyProtection="1">
      <alignment vertical="center"/>
    </xf>
    <xf numFmtId="164" fontId="9" fillId="4" borderId="0" xfId="0" applyNumberFormat="1" applyFont="1" applyFill="1" applyBorder="1" applyAlignment="1" applyProtection="1">
      <alignment vertical="center" wrapText="1"/>
    </xf>
    <xf numFmtId="166" fontId="9" fillId="4" borderId="0" xfId="0" applyNumberFormat="1" applyFont="1" applyFill="1" applyBorder="1" applyAlignment="1" applyProtection="1">
      <alignment wrapText="1"/>
    </xf>
    <xf numFmtId="164" fontId="9" fillId="4" borderId="9" xfId="0" applyNumberFormat="1" applyFont="1" applyFill="1" applyBorder="1" applyAlignment="1" applyProtection="1">
      <alignment wrapText="1"/>
    </xf>
    <xf numFmtId="0" fontId="9" fillId="4" borderId="9" xfId="0" applyNumberFormat="1" applyFont="1" applyFill="1" applyBorder="1" applyAlignment="1" applyProtection="1">
      <alignment horizontal="right" vertical="center"/>
      <protection locked="0"/>
    </xf>
    <xf numFmtId="164" fontId="9" fillId="4" borderId="6" xfId="0" applyNumberFormat="1" applyFont="1" applyFill="1" applyBorder="1" applyAlignment="1" applyProtection="1">
      <alignment horizontal="right" vertical="center"/>
    </xf>
    <xf numFmtId="164" fontId="9" fillId="4" borderId="6" xfId="0" applyNumberFormat="1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right" vertical="center" wrapText="1" indent="1"/>
    </xf>
    <xf numFmtId="164" fontId="9" fillId="4" borderId="9" xfId="0" applyNumberFormat="1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horizontal="right" vertical="center" wrapText="1" indent="1"/>
    </xf>
    <xf numFmtId="0" fontId="9" fillId="4" borderId="4" xfId="0" applyNumberFormat="1" applyFont="1" applyFill="1" applyBorder="1" applyAlignment="1" applyProtection="1">
      <alignment vertical="center"/>
    </xf>
    <xf numFmtId="164" fontId="9" fillId="4" borderId="2" xfId="0" applyNumberFormat="1" applyFont="1" applyFill="1" applyBorder="1" applyAlignment="1" applyProtection="1">
      <alignment vertical="center"/>
    </xf>
    <xf numFmtId="164" fontId="9" fillId="6" borderId="13" xfId="0" applyNumberFormat="1" applyFont="1" applyFill="1" applyBorder="1" applyAlignment="1" applyProtection="1">
      <alignment vertical="center"/>
      <protection locked="0"/>
    </xf>
    <xf numFmtId="164" fontId="9" fillId="6" borderId="2" xfId="0" applyNumberFormat="1" applyFont="1" applyFill="1" applyBorder="1" applyAlignment="1" applyProtection="1">
      <alignment vertical="center"/>
      <protection locked="0"/>
    </xf>
    <xf numFmtId="164" fontId="9" fillId="6" borderId="1" xfId="0" applyNumberFormat="1" applyFont="1" applyFill="1" applyBorder="1" applyAlignment="1" applyProtection="1">
      <alignment vertical="center"/>
      <protection locked="0"/>
    </xf>
    <xf numFmtId="166" fontId="9" fillId="4" borderId="9" xfId="0" applyNumberFormat="1" applyFont="1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right" vertical="center" wrapText="1" indent="1" shrinkToFit="1"/>
    </xf>
    <xf numFmtId="49" fontId="9" fillId="4" borderId="3" xfId="0" applyNumberFormat="1" applyFont="1" applyFill="1" applyBorder="1" applyAlignment="1" applyProtection="1">
      <alignment horizontal="left" wrapText="1"/>
    </xf>
    <xf numFmtId="166" fontId="9" fillId="4" borderId="9" xfId="0" applyNumberFormat="1" applyFont="1" applyFill="1" applyBorder="1" applyAlignment="1" applyProtection="1">
      <alignment vertical="center"/>
    </xf>
    <xf numFmtId="0" fontId="9" fillId="4" borderId="9" xfId="0" applyNumberFormat="1" applyFont="1" applyFill="1" applyBorder="1" applyAlignment="1" applyProtection="1">
      <alignment vertical="center"/>
      <protection locked="0"/>
    </xf>
    <xf numFmtId="164" fontId="9" fillId="4" borderId="2" xfId="0" applyNumberFormat="1" applyFont="1" applyFill="1" applyBorder="1" applyAlignment="1" applyProtection="1">
      <alignment vertical="center" wrapText="1"/>
    </xf>
    <xf numFmtId="164" fontId="9" fillId="9" borderId="4" xfId="0" applyNumberFormat="1" applyFont="1" applyFill="1" applyBorder="1" applyAlignment="1" applyProtection="1">
      <alignment horizontal="right" vertical="center"/>
    </xf>
    <xf numFmtId="180" fontId="9" fillId="9" borderId="2" xfId="0" applyNumberFormat="1" applyFont="1" applyFill="1" applyBorder="1" applyAlignment="1" applyProtection="1">
      <alignment vertical="center"/>
    </xf>
    <xf numFmtId="49" fontId="9" fillId="4" borderId="15" xfId="0" applyNumberFormat="1" applyFont="1" applyFill="1" applyBorder="1" applyAlignment="1" applyProtection="1">
      <alignment horizontal="left" vertical="center"/>
    </xf>
    <xf numFmtId="0" fontId="9" fillId="7" borderId="4" xfId="0" applyNumberFormat="1" applyFont="1" applyFill="1" applyBorder="1" applyAlignment="1" applyProtection="1">
      <alignment vertical="center"/>
    </xf>
    <xf numFmtId="0" fontId="9" fillId="9" borderId="4" xfId="0" applyNumberFormat="1" applyFont="1" applyFill="1" applyBorder="1" applyAlignment="1" applyProtection="1">
      <alignment vertical="center"/>
    </xf>
    <xf numFmtId="0" fontId="10" fillId="7" borderId="2" xfId="0" applyNumberFormat="1" applyFont="1" applyFill="1" applyBorder="1" applyAlignment="1" applyProtection="1">
      <alignment vertical="center"/>
    </xf>
    <xf numFmtId="0" fontId="9" fillId="4" borderId="2" xfId="0" applyNumberFormat="1" applyFont="1" applyFill="1" applyBorder="1" applyAlignment="1" applyProtection="1">
      <alignment vertical="center"/>
    </xf>
    <xf numFmtId="164" fontId="10" fillId="4" borderId="2" xfId="0" applyNumberFormat="1" applyFont="1" applyFill="1" applyBorder="1" applyAlignment="1" applyProtection="1">
      <alignment vertical="center"/>
    </xf>
    <xf numFmtId="179" fontId="9" fillId="9" borderId="2" xfId="0" applyNumberFormat="1" applyFont="1" applyFill="1" applyBorder="1" applyAlignment="1" applyProtection="1">
      <alignment vertical="center"/>
    </xf>
    <xf numFmtId="179" fontId="9" fillId="9" borderId="13" xfId="0" applyNumberFormat="1" applyFont="1" applyFill="1" applyBorder="1" applyAlignment="1" applyProtection="1">
      <alignment vertical="center"/>
    </xf>
    <xf numFmtId="179" fontId="9" fillId="9" borderId="1" xfId="0" applyNumberFormat="1" applyFont="1" applyFill="1" applyBorder="1" applyAlignment="1" applyProtection="1">
      <alignment vertical="center"/>
    </xf>
    <xf numFmtId="164" fontId="9" fillId="4" borderId="11" xfId="0" applyNumberFormat="1" applyFont="1" applyFill="1" applyBorder="1" applyAlignment="1" applyProtection="1">
      <alignment vertical="center"/>
    </xf>
    <xf numFmtId="164" fontId="9" fillId="4" borderId="13" xfId="0" applyNumberFormat="1" applyFont="1" applyFill="1" applyBorder="1" applyAlignment="1" applyProtection="1">
      <alignment vertical="center"/>
    </xf>
    <xf numFmtId="164" fontId="9" fillId="7" borderId="12" xfId="0" applyNumberFormat="1" applyFont="1" applyFill="1" applyBorder="1" applyAlignment="1" applyProtection="1">
      <alignment vertical="center"/>
    </xf>
    <xf numFmtId="49" fontId="9" fillId="4" borderId="10" xfId="0" applyNumberFormat="1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horizontal="right" vertical="center" indent="1"/>
    </xf>
    <xf numFmtId="0" fontId="9" fillId="4" borderId="10" xfId="0" applyFont="1" applyFill="1" applyBorder="1" applyAlignment="1" applyProtection="1">
      <alignment horizontal="left" vertical="center" indent="1"/>
    </xf>
    <xf numFmtId="0" fontId="9" fillId="4" borderId="10" xfId="0" applyNumberFormat="1" applyFont="1" applyFill="1" applyBorder="1" applyAlignment="1" applyProtection="1">
      <alignment vertical="center"/>
    </xf>
    <xf numFmtId="164" fontId="9" fillId="4" borderId="0" xfId="0" applyNumberFormat="1" applyFont="1" applyFill="1" applyBorder="1" applyProtection="1"/>
    <xf numFmtId="164" fontId="9" fillId="4" borderId="10" xfId="0" applyNumberFormat="1" applyFont="1" applyFill="1" applyBorder="1" applyProtection="1"/>
    <xf numFmtId="164" fontId="9" fillId="4" borderId="0" xfId="0" applyNumberFormat="1" applyFont="1" applyFill="1" applyBorder="1" applyAlignment="1" applyProtection="1">
      <alignment horizontal="left"/>
    </xf>
    <xf numFmtId="49" fontId="9" fillId="4" borderId="0" xfId="0" applyNumberFormat="1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164" fontId="9" fillId="4" borderId="0" xfId="0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horizontal="right" vertical="top"/>
    </xf>
    <xf numFmtId="49" fontId="9" fillId="4" borderId="0" xfId="0" applyNumberFormat="1" applyFont="1" applyFill="1" applyBorder="1" applyAlignment="1" applyProtection="1">
      <alignment horizontal="left" vertical="top"/>
    </xf>
    <xf numFmtId="164" fontId="10" fillId="4" borderId="0" xfId="0" applyNumberFormat="1" applyFont="1" applyFill="1" applyBorder="1" applyAlignment="1" applyProtection="1">
      <alignment vertical="top"/>
    </xf>
    <xf numFmtId="164" fontId="9" fillId="4" borderId="0" xfId="0" applyNumberFormat="1" applyFont="1" applyFill="1" applyBorder="1" applyAlignment="1" applyProtection="1">
      <alignment horizontal="left" vertical="top" indent="1"/>
    </xf>
    <xf numFmtId="0" fontId="9" fillId="4" borderId="0" xfId="0" applyFont="1" applyFill="1" applyBorder="1" applyAlignment="1" applyProtection="1">
      <alignment horizontal="right" indent="1"/>
    </xf>
    <xf numFmtId="0" fontId="9" fillId="4" borderId="0" xfId="0" applyFont="1" applyFill="1" applyBorder="1" applyAlignment="1" applyProtection="1">
      <alignment horizontal="left" indent="1"/>
    </xf>
    <xf numFmtId="164" fontId="9" fillId="4" borderId="0" xfId="0" applyNumberFormat="1" applyFont="1" applyFill="1" applyBorder="1" applyAlignment="1" applyProtection="1">
      <alignment horizontal="left" indent="1"/>
    </xf>
    <xf numFmtId="0" fontId="20" fillId="4" borderId="1" xfId="0" applyNumberFormat="1" applyFont="1" applyFill="1" applyBorder="1" applyAlignment="1" applyProtection="1">
      <alignment horizontal="left" vertical="center" indent="1"/>
    </xf>
    <xf numFmtId="0" fontId="20" fillId="4" borderId="3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horizontal="right" vertical="center"/>
    </xf>
    <xf numFmtId="0" fontId="10" fillId="4" borderId="4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horizontal="right" vertical="center"/>
    </xf>
    <xf numFmtId="0" fontId="10" fillId="5" borderId="2" xfId="0" applyNumberFormat="1" applyFont="1" applyFill="1" applyBorder="1" applyAlignment="1" applyProtection="1">
      <alignment horizontal="left" vertical="center" indent="1"/>
    </xf>
    <xf numFmtId="0" fontId="9" fillId="4" borderId="15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2" fontId="9" fillId="4" borderId="0" xfId="0" applyNumberFormat="1" applyFont="1" applyFill="1" applyBorder="1" applyAlignment="1" applyProtection="1">
      <alignment horizontal="right" vertical="center"/>
    </xf>
    <xf numFmtId="49" fontId="9" fillId="4" borderId="0" xfId="0" applyNumberFormat="1" applyFont="1" applyFill="1" applyBorder="1" applyAlignment="1" applyProtection="1">
      <alignment textRotation="90"/>
    </xf>
    <xf numFmtId="49" fontId="9" fillId="4" borderId="0" xfId="0" applyNumberFormat="1" applyFont="1" applyFill="1" applyBorder="1" applyAlignment="1" applyProtection="1">
      <alignment horizontal="center" textRotation="90" wrapText="1"/>
    </xf>
    <xf numFmtId="175" fontId="9" fillId="5" borderId="13" xfId="0" applyNumberFormat="1" applyFont="1" applyFill="1" applyBorder="1" applyAlignment="1" applyProtection="1">
      <alignment horizontal="center" textRotation="90" wrapText="1"/>
    </xf>
    <xf numFmtId="175" fontId="9" fillId="5" borderId="2" xfId="0" applyNumberFormat="1" applyFont="1" applyFill="1" applyBorder="1" applyAlignment="1" applyProtection="1">
      <alignment horizontal="center" textRotation="90" wrapText="1"/>
    </xf>
    <xf numFmtId="49" fontId="9" fillId="4" borderId="7" xfId="0" applyNumberFormat="1" applyFont="1" applyFill="1" applyBorder="1" applyAlignment="1" applyProtection="1">
      <alignment textRotation="90"/>
    </xf>
    <xf numFmtId="49" fontId="9" fillId="4" borderId="10" xfId="0" applyNumberFormat="1" applyFont="1" applyFill="1" applyBorder="1" applyAlignment="1" applyProtection="1">
      <alignment horizontal="center" textRotation="90" wrapText="1"/>
    </xf>
    <xf numFmtId="49" fontId="9" fillId="4" borderId="3" xfId="0" applyNumberFormat="1" applyFont="1" applyFill="1" applyBorder="1" applyAlignment="1" applyProtection="1">
      <alignment horizontal="center" textRotation="90" wrapText="1"/>
    </xf>
    <xf numFmtId="0" fontId="9" fillId="5" borderId="11" xfId="0" applyFont="1" applyFill="1" applyBorder="1" applyAlignment="1" applyProtection="1">
      <alignment horizontal="right" vertical="center" indent="1"/>
    </xf>
    <xf numFmtId="164" fontId="9" fillId="4" borderId="8" xfId="0" applyNumberFormat="1" applyFont="1" applyFill="1" applyBorder="1" applyAlignment="1" applyProtection="1">
      <alignment vertical="center"/>
    </xf>
    <xf numFmtId="166" fontId="9" fillId="4" borderId="0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>
      <alignment horizontal="right" vertical="center"/>
    </xf>
    <xf numFmtId="180" fontId="9" fillId="4" borderId="0" xfId="0" applyNumberFormat="1" applyFont="1" applyFill="1" applyBorder="1" applyAlignment="1" applyProtection="1">
      <alignment horizontal="right" vertical="center"/>
    </xf>
    <xf numFmtId="166" fontId="9" fillId="4" borderId="8" xfId="0" applyNumberFormat="1" applyFont="1" applyFill="1" applyBorder="1" applyAlignment="1" applyProtection="1">
      <alignment horizontal="right" vertical="center"/>
    </xf>
    <xf numFmtId="166" fontId="9" fillId="4" borderId="9" xfId="0" applyNumberFormat="1" applyFont="1" applyFill="1" applyBorder="1" applyAlignment="1" applyProtection="1">
      <alignment horizontal="right" vertical="center"/>
    </xf>
    <xf numFmtId="0" fontId="9" fillId="5" borderId="2" xfId="0" applyFont="1" applyFill="1" applyBorder="1" applyAlignment="1" applyProtection="1">
      <alignment horizontal="right" vertical="center" indent="1"/>
    </xf>
    <xf numFmtId="166" fontId="9" fillId="4" borderId="10" xfId="0" applyNumberFormat="1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left" vertical="center" indent="1"/>
    </xf>
    <xf numFmtId="166" fontId="9" fillId="4" borderId="3" xfId="0" applyNumberFormat="1" applyFont="1" applyFill="1" applyBorder="1" applyAlignment="1" applyProtection="1">
      <alignment vertical="center"/>
    </xf>
    <xf numFmtId="0" fontId="9" fillId="4" borderId="7" xfId="0" applyNumberFormat="1" applyFont="1" applyFill="1" applyBorder="1" applyAlignment="1" applyProtection="1">
      <alignment vertical="center"/>
    </xf>
    <xf numFmtId="180" fontId="9" fillId="4" borderId="7" xfId="0" applyNumberFormat="1" applyFont="1" applyFill="1" applyBorder="1" applyAlignment="1" applyProtection="1">
      <alignment vertical="center"/>
    </xf>
    <xf numFmtId="169" fontId="9" fillId="5" borderId="2" xfId="0" applyNumberFormat="1" applyFont="1" applyFill="1" applyBorder="1" applyAlignment="1" applyProtection="1">
      <alignment horizontal="right" vertical="center" indent="1"/>
    </xf>
    <xf numFmtId="166" fontId="9" fillId="7" borderId="2" xfId="0" applyNumberFormat="1" applyFont="1" applyFill="1" applyBorder="1" applyAlignment="1" applyProtection="1">
      <alignment vertical="center"/>
    </xf>
    <xf numFmtId="181" fontId="9" fillId="7" borderId="12" xfId="0" applyNumberFormat="1" applyFont="1" applyFill="1" applyBorder="1" applyAlignment="1" applyProtection="1">
      <alignment vertical="center"/>
    </xf>
    <xf numFmtId="176" fontId="9" fillId="7" borderId="2" xfId="0" applyNumberFormat="1" applyFont="1" applyFill="1" applyBorder="1" applyAlignment="1" applyProtection="1">
      <alignment horizontal="right" vertical="center"/>
    </xf>
    <xf numFmtId="176" fontId="9" fillId="7" borderId="2" xfId="0" applyNumberFormat="1" applyFont="1" applyFill="1" applyBorder="1" applyAlignment="1" applyProtection="1">
      <alignment vertical="center"/>
    </xf>
    <xf numFmtId="166" fontId="9" fillId="4" borderId="14" xfId="0" applyNumberFormat="1" applyFont="1" applyFill="1" applyBorder="1" applyAlignment="1" applyProtection="1">
      <alignment vertical="center"/>
    </xf>
    <xf numFmtId="166" fontId="9" fillId="7" borderId="11" xfId="0" applyNumberFormat="1" applyFont="1" applyFill="1" applyBorder="1" applyAlignment="1" applyProtection="1">
      <alignment vertical="center"/>
    </xf>
    <xf numFmtId="180" fontId="9" fillId="4" borderId="10" xfId="0" applyNumberFormat="1" applyFont="1" applyFill="1" applyBorder="1" applyAlignment="1" applyProtection="1">
      <alignment vertical="center"/>
    </xf>
    <xf numFmtId="166" fontId="9" fillId="4" borderId="15" xfId="0" applyNumberFormat="1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right" wrapText="1" indent="1"/>
    </xf>
    <xf numFmtId="0" fontId="9" fillId="4" borderId="0" xfId="0" applyFont="1" applyFill="1" applyBorder="1" applyAlignment="1" applyProtection="1"/>
    <xf numFmtId="166" fontId="9" fillId="4" borderId="0" xfId="0" applyNumberFormat="1" applyFont="1" applyFill="1" applyBorder="1" applyAlignment="1" applyProtection="1"/>
    <xf numFmtId="0" fontId="20" fillId="4" borderId="1" xfId="0" applyNumberFormat="1" applyFont="1" applyFill="1" applyBorder="1" applyAlignment="1" applyProtection="1">
      <alignment vertical="center"/>
    </xf>
    <xf numFmtId="0" fontId="20" fillId="4" borderId="3" xfId="0" applyNumberFormat="1" applyFont="1" applyFill="1" applyBorder="1" applyAlignment="1" applyProtection="1">
      <alignment horizontal="left" vertical="center"/>
    </xf>
    <xf numFmtId="0" fontId="20" fillId="4" borderId="3" xfId="0" applyNumberFormat="1" applyFont="1" applyFill="1" applyBorder="1" applyAlignment="1" applyProtection="1">
      <alignment horizontal="center" vertical="center"/>
    </xf>
    <xf numFmtId="0" fontId="10" fillId="4" borderId="3" xfId="0" applyNumberFormat="1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vertical="center"/>
    </xf>
    <xf numFmtId="174" fontId="9" fillId="4" borderId="0" xfId="0" applyNumberFormat="1" applyFont="1" applyFill="1" applyBorder="1" applyAlignment="1" applyProtection="1">
      <alignment vertical="center"/>
    </xf>
    <xf numFmtId="0" fontId="9" fillId="4" borderId="9" xfId="0" applyNumberFormat="1" applyFont="1" applyFill="1" applyBorder="1" applyAlignment="1" applyProtection="1">
      <alignment horizontal="center" textRotation="90"/>
    </xf>
    <xf numFmtId="175" fontId="9" fillId="5" borderId="2" xfId="0" applyNumberFormat="1" applyFont="1" applyFill="1" applyBorder="1" applyAlignment="1" applyProtection="1">
      <alignment horizontal="center" textRotation="90"/>
    </xf>
    <xf numFmtId="0" fontId="9" fillId="4" borderId="7" xfId="0" applyNumberFormat="1" applyFont="1" applyFill="1" applyBorder="1" applyAlignment="1" applyProtection="1">
      <alignment horizontal="center" textRotation="90"/>
    </xf>
    <xf numFmtId="9" fontId="9" fillId="7" borderId="2" xfId="0" applyNumberFormat="1" applyFont="1" applyFill="1" applyBorder="1" applyAlignment="1" applyProtection="1">
      <alignment vertical="center"/>
    </xf>
    <xf numFmtId="9" fontId="9" fillId="4" borderId="0" xfId="0" applyNumberFormat="1" applyFont="1" applyFill="1" applyBorder="1" applyAlignment="1" applyProtection="1">
      <alignment vertical="center"/>
    </xf>
    <xf numFmtId="0" fontId="9" fillId="4" borderId="10" xfId="0" applyFont="1" applyFill="1" applyBorder="1" applyProtection="1"/>
    <xf numFmtId="0" fontId="1" fillId="4" borderId="0" xfId="1" applyFont="1" applyFill="1" applyBorder="1" applyAlignment="1" applyProtection="1"/>
    <xf numFmtId="0" fontId="4" fillId="4" borderId="3" xfId="0" applyNumberFormat="1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vertical="center"/>
    </xf>
    <xf numFmtId="174" fontId="6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textRotation="90"/>
    </xf>
    <xf numFmtId="175" fontId="6" fillId="5" borderId="13" xfId="0" applyNumberFormat="1" applyFont="1" applyFill="1" applyBorder="1" applyAlignment="1" applyProtection="1">
      <alignment horizontal="center" textRotation="90"/>
    </xf>
    <xf numFmtId="175" fontId="2" fillId="4" borderId="13" xfId="0" applyNumberFormat="1" applyFont="1" applyFill="1" applyBorder="1" applyAlignment="1" applyProtection="1">
      <alignment horizontal="center" textRotation="90" wrapText="1"/>
    </xf>
    <xf numFmtId="175" fontId="6" fillId="5" borderId="10" xfId="0" applyNumberFormat="1" applyFont="1" applyFill="1" applyBorder="1" applyAlignment="1" applyProtection="1">
      <alignment horizontal="center" textRotation="90"/>
    </xf>
    <xf numFmtId="175" fontId="6" fillId="4" borderId="0" xfId="0" applyNumberFormat="1" applyFont="1" applyFill="1" applyBorder="1" applyAlignment="1" applyProtection="1">
      <alignment vertical="center"/>
    </xf>
    <xf numFmtId="175" fontId="2" fillId="5" borderId="2" xfId="0" applyNumberFormat="1" applyFont="1" applyFill="1" applyBorder="1" applyAlignment="1" applyProtection="1">
      <alignment horizontal="center" textRotation="90" wrapText="1"/>
    </xf>
    <xf numFmtId="0" fontId="6" fillId="4" borderId="10" xfId="0" applyNumberFormat="1" applyFont="1" applyFill="1" applyBorder="1" applyAlignment="1" applyProtection="1">
      <alignment horizontal="center" textRotation="90"/>
    </xf>
    <xf numFmtId="49" fontId="6" fillId="4" borderId="0" xfId="0" applyNumberFormat="1" applyFont="1" applyFill="1" applyBorder="1" applyAlignment="1" applyProtection="1">
      <alignment horizontal="center" textRotation="90" wrapText="1"/>
    </xf>
    <xf numFmtId="0" fontId="6" fillId="9" borderId="2" xfId="0" applyFont="1" applyFill="1" applyBorder="1" applyAlignment="1" applyProtection="1">
      <alignment horizontal="left" vertical="center" indent="1"/>
    </xf>
    <xf numFmtId="0" fontId="6" fillId="4" borderId="0" xfId="0" applyNumberFormat="1" applyFont="1" applyFill="1" applyBorder="1" applyAlignment="1" applyProtection="1">
      <alignment horizontal="right" vertical="center"/>
    </xf>
    <xf numFmtId="166" fontId="6" fillId="4" borderId="0" xfId="0" applyNumberFormat="1" applyFont="1" applyFill="1" applyBorder="1" applyAlignment="1" applyProtection="1">
      <alignment vertical="center"/>
    </xf>
    <xf numFmtId="169" fontId="6" fillId="5" borderId="2" xfId="0" applyNumberFormat="1" applyFont="1" applyFill="1" applyBorder="1" applyAlignment="1" applyProtection="1">
      <alignment horizontal="right" vertical="center" indent="1"/>
    </xf>
    <xf numFmtId="178" fontId="6" fillId="7" borderId="2" xfId="0" applyNumberFormat="1" applyFont="1" applyFill="1" applyBorder="1" applyAlignment="1" applyProtection="1">
      <alignment horizontal="right" vertical="center"/>
    </xf>
    <xf numFmtId="177" fontId="2" fillId="7" borderId="2" xfId="0" applyNumberFormat="1" applyFont="1" applyFill="1" applyBorder="1" applyAlignment="1" applyProtection="1">
      <alignment horizontal="right" vertical="center"/>
    </xf>
    <xf numFmtId="0" fontId="6" fillId="4" borderId="3" xfId="0" applyNumberFormat="1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left" vertical="center" indent="1"/>
    </xf>
    <xf numFmtId="177" fontId="6" fillId="4" borderId="0" xfId="0" applyNumberFormat="1" applyFont="1" applyFill="1" applyBorder="1" applyAlignment="1" applyProtection="1">
      <alignment horizontal="right" vertical="center"/>
    </xf>
    <xf numFmtId="177" fontId="6" fillId="4" borderId="0" xfId="0" applyNumberFormat="1" applyFont="1" applyFill="1" applyBorder="1" applyAlignment="1" applyProtection="1">
      <alignment vertical="center"/>
    </xf>
    <xf numFmtId="177" fontId="6" fillId="7" borderId="2" xfId="0" applyNumberFormat="1" applyFont="1" applyFill="1" applyBorder="1" applyAlignment="1" applyProtection="1">
      <alignment vertical="center"/>
    </xf>
    <xf numFmtId="178" fontId="6" fillId="7" borderId="2" xfId="0" applyNumberFormat="1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 vertical="center" indent="1"/>
    </xf>
    <xf numFmtId="177" fontId="6" fillId="7" borderId="2" xfId="0" applyNumberFormat="1" applyFont="1" applyFill="1" applyBorder="1" applyAlignment="1" applyProtection="1">
      <alignment horizontal="right" vertical="center"/>
    </xf>
    <xf numFmtId="177" fontId="6" fillId="4" borderId="6" xfId="0" applyNumberFormat="1" applyFont="1" applyFill="1" applyBorder="1" applyAlignment="1" applyProtection="1">
      <alignment horizontal="right" vertical="center"/>
    </xf>
    <xf numFmtId="177" fontId="6" fillId="4" borderId="8" xfId="0" applyNumberFormat="1" applyFont="1" applyFill="1" applyBorder="1" applyAlignment="1" applyProtection="1">
      <alignment horizontal="right" vertical="center"/>
    </xf>
    <xf numFmtId="0" fontId="1" fillId="4" borderId="0" xfId="1" applyFill="1" applyBorder="1" applyAlignment="1" applyProtection="1"/>
    <xf numFmtId="0" fontId="6" fillId="4" borderId="0" xfId="0" applyFont="1" applyFill="1" applyBorder="1" applyProtection="1"/>
    <xf numFmtId="0" fontId="6" fillId="4" borderId="0" xfId="0" applyNumberFormat="1" applyFont="1" applyFill="1" applyBorder="1" applyProtection="1"/>
    <xf numFmtId="0" fontId="6" fillId="4" borderId="0" xfId="0" applyFont="1" applyFill="1" applyBorder="1" applyAlignment="1" applyProtection="1">
      <alignment horizontal="right" indent="1"/>
    </xf>
    <xf numFmtId="0" fontId="24" fillId="0" borderId="0" xfId="0" applyFont="1" applyAlignment="1">
      <alignment horizontal="center" vertical="center"/>
    </xf>
    <xf numFmtId="0" fontId="12" fillId="7" borderId="13" xfId="0" applyFont="1" applyFill="1" applyBorder="1" applyAlignment="1">
      <alignment horizontal="center" textRotation="90"/>
    </xf>
    <xf numFmtId="166" fontId="12" fillId="10" borderId="19" xfId="0" applyNumberFormat="1" applyFont="1" applyFill="1" applyBorder="1"/>
    <xf numFmtId="167" fontId="12" fillId="0" borderId="0" xfId="0" applyNumberFormat="1" applyFont="1" applyBorder="1"/>
    <xf numFmtId="0" fontId="12" fillId="7" borderId="13" xfId="0" applyFont="1" applyFill="1" applyBorder="1" applyAlignment="1">
      <alignment horizontal="center" textRotation="90" wrapText="1"/>
    </xf>
    <xf numFmtId="2" fontId="12" fillId="7" borderId="13" xfId="0" applyNumberFormat="1" applyFont="1" applyFill="1" applyBorder="1" applyAlignment="1">
      <alignment horizontal="center" textRotation="90"/>
    </xf>
    <xf numFmtId="0" fontId="12" fillId="10" borderId="10" xfId="0" applyNumberFormat="1" applyFont="1" applyFill="1" applyBorder="1"/>
    <xf numFmtId="0" fontId="12" fillId="10" borderId="20" xfId="0" applyNumberFormat="1" applyFont="1" applyFill="1" applyBorder="1"/>
    <xf numFmtId="173" fontId="12" fillId="10" borderId="10" xfId="0" applyNumberFormat="1" applyFont="1" applyFill="1" applyBorder="1"/>
    <xf numFmtId="173" fontId="12" fillId="10" borderId="20" xfId="0" applyNumberFormat="1" applyFont="1" applyFill="1" applyBorder="1"/>
    <xf numFmtId="10" fontId="12" fillId="10" borderId="21" xfId="0" applyNumberFormat="1" applyFont="1" applyFill="1" applyBorder="1"/>
    <xf numFmtId="10" fontId="12" fillId="10" borderId="22" xfId="0" applyNumberFormat="1" applyFont="1" applyFill="1" applyBorder="1"/>
    <xf numFmtId="0" fontId="12" fillId="3" borderId="10" xfId="0" applyNumberFormat="1" applyFont="1" applyFill="1" applyBorder="1"/>
    <xf numFmtId="0" fontId="12" fillId="3" borderId="20" xfId="0" applyNumberFormat="1" applyFont="1" applyFill="1" applyBorder="1"/>
    <xf numFmtId="166" fontId="12" fillId="6" borderId="21" xfId="0" applyNumberFormat="1" applyFont="1" applyFill="1" applyBorder="1" applyAlignment="1" applyProtection="1">
      <alignment horizontal="right" vertical="center"/>
      <protection locked="0"/>
    </xf>
    <xf numFmtId="164" fontId="12" fillId="10" borderId="22" xfId="0" applyNumberFormat="1" applyFont="1" applyFill="1" applyBorder="1"/>
    <xf numFmtId="164" fontId="12" fillId="10" borderId="21" xfId="0" applyNumberFormat="1" applyFont="1" applyFill="1" applyBorder="1"/>
    <xf numFmtId="166" fontId="12" fillId="10" borderId="10" xfId="0" applyNumberFormat="1" applyFont="1" applyFill="1" applyBorder="1"/>
    <xf numFmtId="166" fontId="12" fillId="10" borderId="20" xfId="0" applyNumberFormat="1" applyFont="1" applyFill="1" applyBorder="1"/>
    <xf numFmtId="0" fontId="12" fillId="3" borderId="21" xfId="0" applyNumberFormat="1" applyFont="1" applyFill="1" applyBorder="1"/>
    <xf numFmtId="0" fontId="12" fillId="3" borderId="22" xfId="0" applyNumberFormat="1" applyFont="1" applyFill="1" applyBorder="1"/>
    <xf numFmtId="166" fontId="12" fillId="10" borderId="21" xfId="0" applyNumberFormat="1" applyFont="1" applyFill="1" applyBorder="1"/>
    <xf numFmtId="9" fontId="12" fillId="10" borderId="22" xfId="0" applyNumberFormat="1" applyFont="1" applyFill="1" applyBorder="1"/>
    <xf numFmtId="2" fontId="12" fillId="10" borderId="10" xfId="0" applyNumberFormat="1" applyFont="1" applyFill="1" applyBorder="1"/>
    <xf numFmtId="2" fontId="12" fillId="10" borderId="20" xfId="0" applyNumberFormat="1" applyFont="1" applyFill="1" applyBorder="1"/>
    <xf numFmtId="0" fontId="12" fillId="10" borderId="23" xfId="0" applyNumberFormat="1" applyFont="1" applyFill="1" applyBorder="1"/>
    <xf numFmtId="173" fontId="12" fillId="10" borderId="23" xfId="0" applyNumberFormat="1" applyFont="1" applyFill="1" applyBorder="1"/>
    <xf numFmtId="10" fontId="12" fillId="10" borderId="24" xfId="0" applyNumberFormat="1" applyFont="1" applyFill="1" applyBorder="1"/>
    <xf numFmtId="0" fontId="12" fillId="3" borderId="23" xfId="0" applyNumberFormat="1" applyFont="1" applyFill="1" applyBorder="1"/>
    <xf numFmtId="164" fontId="12" fillId="10" borderId="24" xfId="0" applyNumberFormat="1" applyFont="1" applyFill="1" applyBorder="1"/>
    <xf numFmtId="0" fontId="12" fillId="3" borderId="24" xfId="0" applyNumberFormat="1" applyFont="1" applyFill="1" applyBorder="1"/>
    <xf numFmtId="2" fontId="12" fillId="10" borderId="23" xfId="0" applyNumberFormat="1" applyFont="1" applyFill="1" applyBorder="1"/>
    <xf numFmtId="0" fontId="12" fillId="10" borderId="23" xfId="0" applyNumberFormat="1" applyFont="1" applyFill="1" applyBorder="1" applyAlignment="1">
      <alignment wrapText="1"/>
    </xf>
    <xf numFmtId="166" fontId="12" fillId="3" borderId="22" xfId="0" applyNumberFormat="1" applyFont="1" applyFill="1" applyBorder="1"/>
    <xf numFmtId="174" fontId="9" fillId="4" borderId="0" xfId="0" applyNumberFormat="1" applyFont="1" applyFill="1" applyBorder="1" applyAlignment="1" applyProtection="1">
      <alignment vertical="center" wrapText="1"/>
    </xf>
    <xf numFmtId="174" fontId="9" fillId="4" borderId="0" xfId="0" applyNumberFormat="1" applyFont="1" applyFill="1" applyBorder="1" applyAlignment="1" applyProtection="1">
      <alignment wrapText="1"/>
    </xf>
    <xf numFmtId="174" fontId="9" fillId="4" borderId="9" xfId="0" applyNumberFormat="1" applyFont="1" applyFill="1" applyBorder="1" applyAlignment="1" applyProtection="1">
      <alignment vertical="center"/>
    </xf>
    <xf numFmtId="174" fontId="9" fillId="4" borderId="7" xfId="0" applyNumberFormat="1" applyFont="1" applyFill="1" applyBorder="1" applyAlignment="1" applyProtection="1">
      <alignment vertical="center"/>
    </xf>
    <xf numFmtId="174" fontId="9" fillId="4" borderId="12" xfId="0" applyNumberFormat="1" applyFont="1" applyFill="1" applyBorder="1" applyAlignment="1" applyProtection="1">
      <alignment vertical="center"/>
    </xf>
    <xf numFmtId="174" fontId="10" fillId="4" borderId="6" xfId="0" applyNumberFormat="1" applyFont="1" applyFill="1" applyBorder="1" applyAlignment="1" applyProtection="1">
      <alignment vertical="center"/>
    </xf>
    <xf numFmtId="174" fontId="9" fillId="4" borderId="3" xfId="0" applyNumberFormat="1" applyFont="1" applyFill="1" applyBorder="1" applyAlignment="1" applyProtection="1">
      <alignment vertical="center"/>
    </xf>
    <xf numFmtId="174" fontId="9" fillId="4" borderId="4" xfId="0" applyNumberFormat="1" applyFont="1" applyFill="1" applyBorder="1" applyAlignment="1" applyProtection="1">
      <alignment vertical="center"/>
    </xf>
    <xf numFmtId="0" fontId="25" fillId="4" borderId="0" xfId="0" applyNumberFormat="1" applyFont="1" applyFill="1" applyBorder="1" applyAlignment="1" applyProtection="1"/>
    <xf numFmtId="178" fontId="9" fillId="0" borderId="17" xfId="0" applyNumberFormat="1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right" indent="1"/>
    </xf>
    <xf numFmtId="164" fontId="18" fillId="4" borderId="10" xfId="0" applyNumberFormat="1" applyFont="1" applyFill="1" applyBorder="1" applyAlignment="1" applyProtection="1">
      <alignment vertical="center"/>
    </xf>
    <xf numFmtId="164" fontId="18" fillId="4" borderId="0" xfId="0" applyNumberFormat="1" applyFont="1" applyFill="1" applyBorder="1" applyAlignment="1" applyProtection="1">
      <alignment vertical="center"/>
    </xf>
    <xf numFmtId="164" fontId="18" fillId="4" borderId="7" xfId="0" applyNumberFormat="1" applyFont="1" applyFill="1" applyBorder="1" applyAlignment="1" applyProtection="1">
      <alignment vertical="center"/>
    </xf>
    <xf numFmtId="166" fontId="9" fillId="4" borderId="13" xfId="0" applyNumberFormat="1" applyFont="1" applyFill="1" applyBorder="1" applyAlignment="1" applyProtection="1">
      <alignment horizontal="right" vertical="center"/>
    </xf>
    <xf numFmtId="166" fontId="9" fillId="4" borderId="6" xfId="0" applyNumberFormat="1" applyFont="1" applyFill="1" applyBorder="1" applyAlignment="1" applyProtection="1">
      <alignment horizontal="right" vertical="center"/>
    </xf>
    <xf numFmtId="166" fontId="9" fillId="4" borderId="11" xfId="0" applyNumberFormat="1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165" fontId="10" fillId="0" borderId="10" xfId="0" applyNumberFormat="1" applyFont="1" applyFill="1" applyBorder="1" applyAlignment="1" applyProtection="1">
      <alignment horizontal="left" vertical="center" indent="1"/>
      <protection locked="0"/>
    </xf>
    <xf numFmtId="0" fontId="10" fillId="0" borderId="10" xfId="0" applyFont="1" applyFill="1" applyBorder="1" applyAlignment="1" applyProtection="1">
      <alignment horizontal="left" vertical="center" indent="1"/>
      <protection locked="0"/>
    </xf>
    <xf numFmtId="0" fontId="10" fillId="0" borderId="14" xfId="0" applyFont="1" applyFill="1" applyBorder="1" applyAlignment="1" applyProtection="1">
      <alignment horizontal="left" vertical="center" indent="1"/>
      <protection locked="0"/>
    </xf>
    <xf numFmtId="0" fontId="21" fillId="4" borderId="0" xfId="0" applyFont="1" applyFill="1" applyBorder="1" applyAlignment="1" applyProtection="1"/>
    <xf numFmtId="0" fontId="10" fillId="5" borderId="15" xfId="0" applyFont="1" applyFill="1" applyBorder="1" applyAlignment="1" applyProtection="1">
      <alignment horizontal="right" wrapText="1"/>
    </xf>
    <xf numFmtId="0" fontId="10" fillId="5" borderId="14" xfId="0" applyFont="1" applyFill="1" applyBorder="1" applyAlignment="1" applyProtection="1">
      <alignment horizontal="right" wrapText="1"/>
    </xf>
    <xf numFmtId="0" fontId="10" fillId="5" borderId="1" xfId="0" applyFont="1" applyFill="1" applyBorder="1" applyAlignment="1" applyProtection="1">
      <alignment horizontal="left" vertical="center" indent="1"/>
    </xf>
    <xf numFmtId="0" fontId="10" fillId="5" borderId="4" xfId="0" applyFont="1" applyFill="1" applyBorder="1" applyAlignment="1" applyProtection="1">
      <alignment horizontal="left" vertical="center" indent="1"/>
    </xf>
    <xf numFmtId="0" fontId="10" fillId="5" borderId="1" xfId="0" applyNumberFormat="1" applyFont="1" applyFill="1" applyBorder="1" applyAlignment="1" applyProtection="1">
      <alignment horizontal="left" vertical="center" indent="1"/>
    </xf>
    <xf numFmtId="0" fontId="10" fillId="5" borderId="4" xfId="0" applyNumberFormat="1" applyFont="1" applyFill="1" applyBorder="1" applyAlignment="1" applyProtection="1">
      <alignment horizontal="left" vertical="center" indent="1"/>
    </xf>
    <xf numFmtId="0" fontId="9" fillId="0" borderId="1" xfId="0" applyFont="1" applyFill="1" applyBorder="1" applyAlignment="1" applyProtection="1">
      <alignment horizontal="left" vertical="center" indent="1"/>
      <protection locked="0"/>
    </xf>
    <xf numFmtId="0" fontId="9" fillId="0" borderId="4" xfId="0" applyFont="1" applyFill="1" applyBorder="1" applyAlignment="1" applyProtection="1">
      <alignment horizontal="left" vertical="center" indent="1"/>
      <protection locked="0"/>
    </xf>
    <xf numFmtId="165" fontId="10" fillId="3" borderId="3" xfId="0" applyNumberFormat="1" applyFont="1" applyFill="1" applyBorder="1" applyAlignment="1" applyProtection="1">
      <alignment horizontal="left" vertical="center" indent="1"/>
    </xf>
    <xf numFmtId="165" fontId="10" fillId="3" borderId="4" xfId="0" applyNumberFormat="1" applyFont="1" applyFill="1" applyBorder="1" applyAlignment="1" applyProtection="1">
      <alignment horizontal="left" vertical="center" indent="1"/>
    </xf>
    <xf numFmtId="0" fontId="20" fillId="4" borderId="1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right" wrapText="1"/>
    </xf>
    <xf numFmtId="0" fontId="10" fillId="5" borderId="4" xfId="0" applyFont="1" applyFill="1" applyBorder="1" applyAlignment="1" applyProtection="1">
      <alignment horizontal="right" wrapText="1"/>
    </xf>
    <xf numFmtId="0" fontId="10" fillId="5" borderId="3" xfId="0" applyNumberFormat="1" applyFont="1" applyFill="1" applyBorder="1" applyAlignment="1" applyProtection="1">
      <alignment horizontal="left" vertical="center" indent="1"/>
    </xf>
    <xf numFmtId="0" fontId="10" fillId="5" borderId="3" xfId="0" applyFont="1" applyFill="1" applyBorder="1" applyAlignment="1" applyProtection="1">
      <alignment horizontal="left" vertical="center" indent="1"/>
    </xf>
    <xf numFmtId="0" fontId="9" fillId="5" borderId="1" xfId="0" applyFont="1" applyFill="1" applyBorder="1" applyAlignment="1" applyProtection="1">
      <alignment horizontal="right" vertical="center" indent="1"/>
    </xf>
    <xf numFmtId="0" fontId="9" fillId="5" borderId="3" xfId="0" applyFont="1" applyFill="1" applyBorder="1" applyAlignment="1" applyProtection="1">
      <alignment horizontal="right" vertical="center" indent="1"/>
    </xf>
    <xf numFmtId="0" fontId="9" fillId="5" borderId="4" xfId="0" applyFont="1" applyFill="1" applyBorder="1" applyAlignment="1" applyProtection="1">
      <alignment horizontal="right" vertical="center" indent="1"/>
    </xf>
    <xf numFmtId="0" fontId="9" fillId="5" borderId="13" xfId="0" applyFont="1" applyFill="1" applyBorder="1" applyAlignment="1" applyProtection="1">
      <alignment horizontal="left" vertical="center" wrapText="1" indent="1"/>
    </xf>
    <xf numFmtId="0" fontId="9" fillId="5" borderId="6" xfId="0" applyFont="1" applyFill="1" applyBorder="1" applyAlignment="1" applyProtection="1">
      <alignment horizontal="left" vertical="center" indent="1"/>
    </xf>
    <xf numFmtId="0" fontId="9" fillId="5" borderId="11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horizontal="left" vertical="center" indent="1"/>
      <protection locked="0"/>
    </xf>
    <xf numFmtId="0" fontId="9" fillId="4" borderId="0" xfId="0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left" vertical="center" indent="1"/>
    </xf>
    <xf numFmtId="0" fontId="9" fillId="3" borderId="3" xfId="0" applyNumberFormat="1" applyFont="1" applyFill="1" applyBorder="1" applyAlignment="1" applyProtection="1">
      <alignment horizontal="left" vertical="center" indent="1"/>
    </xf>
    <xf numFmtId="0" fontId="9" fillId="3" borderId="4" xfId="0" applyNumberFormat="1" applyFont="1" applyFill="1" applyBorder="1" applyAlignment="1" applyProtection="1">
      <alignment horizontal="left" vertical="center" indent="1"/>
    </xf>
    <xf numFmtId="0" fontId="10" fillId="5" borderId="3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Fill="1" applyBorder="1" applyAlignment="1" applyProtection="1">
      <alignment wrapText="1"/>
      <protection locked="0"/>
    </xf>
    <xf numFmtId="0" fontId="9" fillId="0" borderId="7" xfId="0" applyNumberFormat="1" applyFont="1" applyFill="1" applyBorder="1" applyAlignment="1" applyProtection="1">
      <alignment wrapText="1"/>
      <protection locked="0"/>
    </xf>
    <xf numFmtId="0" fontId="9" fillId="4" borderId="0" xfId="0" applyNumberFormat="1" applyFont="1" applyFill="1" applyBorder="1" applyAlignment="1" applyProtection="1">
      <alignment horizontal="left" vertical="center" wrapText="1" indent="1"/>
    </xf>
    <xf numFmtId="0" fontId="9" fillId="0" borderId="7" xfId="0" applyNumberFormat="1" applyFont="1" applyFill="1" applyBorder="1" applyAlignment="1" applyProtection="1">
      <alignment vertical="center"/>
      <protection locked="0"/>
    </xf>
    <xf numFmtId="164" fontId="9" fillId="4" borderId="0" xfId="0" applyNumberFormat="1" applyFont="1" applyFill="1" applyBorder="1" applyAlignment="1" applyProtection="1">
      <alignment horizontal="right" indent="1"/>
    </xf>
    <xf numFmtId="0" fontId="10" fillId="4" borderId="10" xfId="0" applyFont="1" applyFill="1" applyBorder="1" applyAlignment="1" applyProtection="1">
      <alignment horizontal="left" vertical="center" indent="1"/>
    </xf>
    <xf numFmtId="0" fontId="10" fillId="4" borderId="3" xfId="0" applyFont="1" applyFill="1" applyBorder="1" applyAlignment="1" applyProtection="1">
      <alignment horizontal="right" vertical="center"/>
    </xf>
    <xf numFmtId="0" fontId="10" fillId="3" borderId="1" xfId="0" applyNumberFormat="1" applyFont="1" applyFill="1" applyBorder="1" applyAlignment="1" applyProtection="1">
      <alignment horizontal="left" vertical="center" indent="1"/>
    </xf>
    <xf numFmtId="0" fontId="10" fillId="3" borderId="3" xfId="0" applyNumberFormat="1" applyFont="1" applyFill="1" applyBorder="1" applyAlignment="1" applyProtection="1">
      <alignment horizontal="left" vertical="center" indent="1"/>
    </xf>
    <xf numFmtId="0" fontId="10" fillId="3" borderId="4" xfId="0" applyNumberFormat="1" applyFont="1" applyFill="1" applyBorder="1" applyAlignment="1" applyProtection="1">
      <alignment horizontal="left" vertical="center" indent="1"/>
    </xf>
    <xf numFmtId="0" fontId="9" fillId="4" borderId="0" xfId="0" applyFont="1" applyFill="1" applyBorder="1" applyAlignment="1" applyProtection="1">
      <alignment horizontal="right" indent="1"/>
    </xf>
    <xf numFmtId="0" fontId="9" fillId="0" borderId="7" xfId="0" applyFont="1" applyFill="1" applyBorder="1" applyAlignment="1" applyProtection="1">
      <alignment wrapText="1"/>
      <protection locked="0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</xf>
    <xf numFmtId="0" fontId="20" fillId="4" borderId="3" xfId="0" applyNumberFormat="1" applyFont="1" applyFill="1" applyBorder="1" applyAlignment="1" applyProtection="1">
      <alignment horizontal="center" vertical="center"/>
    </xf>
    <xf numFmtId="167" fontId="9" fillId="3" borderId="3" xfId="0" applyNumberFormat="1" applyFont="1" applyFill="1" applyBorder="1" applyAlignment="1" applyProtection="1">
      <alignment horizontal="left" vertical="center" indent="1"/>
    </xf>
    <xf numFmtId="167" fontId="9" fillId="3" borderId="4" xfId="0" applyNumberFormat="1" applyFont="1" applyFill="1" applyBorder="1" applyAlignment="1" applyProtection="1">
      <alignment horizontal="left" vertical="center" indent="1"/>
    </xf>
    <xf numFmtId="0" fontId="9" fillId="3" borderId="2" xfId="0" applyNumberFormat="1" applyFont="1" applyFill="1" applyBorder="1" applyAlignment="1" applyProtection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left" vertical="center" indent="1"/>
    </xf>
    <xf numFmtId="0" fontId="9" fillId="3" borderId="4" xfId="0" applyFont="1" applyFill="1" applyBorder="1" applyAlignment="1" applyProtection="1">
      <alignment horizontal="left" vertical="center" indent="1"/>
    </xf>
    <xf numFmtId="2" fontId="9" fillId="3" borderId="1" xfId="0" applyNumberFormat="1" applyFont="1" applyFill="1" applyBorder="1" applyAlignment="1" applyProtection="1">
      <alignment horizontal="left" vertical="center" indent="1"/>
    </xf>
    <xf numFmtId="2" fontId="9" fillId="3" borderId="4" xfId="0" applyNumberFormat="1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indent="1"/>
    </xf>
    <xf numFmtId="0" fontId="3" fillId="5" borderId="3" xfId="0" applyFont="1" applyFill="1" applyBorder="1" applyAlignment="1" applyProtection="1">
      <alignment horizontal="left" vertical="center" indent="1"/>
    </xf>
    <xf numFmtId="0" fontId="3" fillId="5" borderId="4" xfId="0" applyFont="1" applyFill="1" applyBorder="1" applyAlignment="1" applyProtection="1">
      <alignment horizontal="left" vertical="center" indent="1"/>
    </xf>
    <xf numFmtId="0" fontId="7" fillId="5" borderId="1" xfId="0" applyFont="1" applyFill="1" applyBorder="1" applyAlignment="1" applyProtection="1">
      <alignment horizontal="left" vertical="center" indent="1"/>
    </xf>
    <xf numFmtId="0" fontId="7" fillId="5" borderId="3" xfId="0" applyFont="1" applyFill="1" applyBorder="1" applyAlignment="1" applyProtection="1">
      <alignment horizontal="left" vertical="center" indent="1"/>
    </xf>
    <xf numFmtId="0" fontId="7" fillId="5" borderId="4" xfId="0" applyFont="1" applyFill="1" applyBorder="1" applyAlignment="1" applyProtection="1">
      <alignment horizontal="left" vertical="center" indent="1"/>
    </xf>
    <xf numFmtId="0" fontId="6" fillId="0" borderId="7" xfId="0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left" vertical="center" indent="1"/>
    </xf>
    <xf numFmtId="0" fontId="7" fillId="3" borderId="3" xfId="0" applyNumberFormat="1" applyFont="1" applyFill="1" applyBorder="1" applyAlignment="1" applyProtection="1">
      <alignment horizontal="left" vertical="center" indent="1"/>
    </xf>
    <xf numFmtId="0" fontId="7" fillId="3" borderId="4" xfId="0" applyNumberFormat="1" applyFont="1" applyFill="1" applyBorder="1" applyAlignment="1" applyProtection="1">
      <alignment horizontal="left" vertical="center" indent="1"/>
    </xf>
    <xf numFmtId="0" fontId="6" fillId="3" borderId="1" xfId="0" applyNumberFormat="1" applyFont="1" applyFill="1" applyBorder="1" applyAlignment="1" applyProtection="1">
      <alignment horizontal="left" vertical="center" indent="1"/>
    </xf>
    <xf numFmtId="0" fontId="6" fillId="3" borderId="3" xfId="0" applyNumberFormat="1" applyFont="1" applyFill="1" applyBorder="1" applyAlignment="1" applyProtection="1">
      <alignment horizontal="left" vertical="center" indent="1"/>
    </xf>
    <xf numFmtId="0" fontId="6" fillId="3" borderId="4" xfId="0" applyNumberFormat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left" vertical="center" indent="1"/>
    </xf>
    <xf numFmtId="0" fontId="6" fillId="3" borderId="3" xfId="0" applyFont="1" applyFill="1" applyBorder="1" applyAlignment="1" applyProtection="1">
      <alignment horizontal="left" vertical="center" indent="1"/>
    </xf>
    <xf numFmtId="0" fontId="6" fillId="3" borderId="4" xfId="0" applyFont="1" applyFill="1" applyBorder="1" applyAlignment="1" applyProtection="1">
      <alignment horizontal="left" vertical="center" indent="1"/>
    </xf>
    <xf numFmtId="0" fontId="2" fillId="3" borderId="1" xfId="0" applyNumberFormat="1" applyFont="1" applyFill="1" applyBorder="1" applyAlignment="1" applyProtection="1">
      <alignment horizontal="left" vertical="center" indent="1"/>
    </xf>
    <xf numFmtId="0" fontId="2" fillId="3" borderId="3" xfId="0" applyNumberFormat="1" applyFont="1" applyFill="1" applyBorder="1" applyAlignment="1" applyProtection="1">
      <alignment horizontal="left" vertical="center" indent="1"/>
    </xf>
    <xf numFmtId="0" fontId="2" fillId="3" borderId="4" xfId="0" applyNumberFormat="1" applyFont="1" applyFill="1" applyBorder="1" applyAlignment="1" applyProtection="1">
      <alignment horizontal="left" vertical="center" indent="1"/>
    </xf>
    <xf numFmtId="0" fontId="13" fillId="0" borderId="0" xfId="0" applyFont="1" applyAlignment="1">
      <alignment vertical="center"/>
    </xf>
  </cellXfs>
  <cellStyles count="19">
    <cellStyle name="Banktabelle" xfId="13" xr:uid="{00000000-0005-0000-0000-000000000000}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Hyperlink 2" xfId="17" xr:uid="{00000000-0005-0000-0000-00000C000000}"/>
    <cellStyle name="Link" xfId="1" builtinId="8"/>
    <cellStyle name="Prozent 2" xfId="16" xr:uid="{00000000-0005-0000-0000-00000D000000}"/>
    <cellStyle name="Standard" xfId="0" builtinId="0"/>
    <cellStyle name="Standard 2" xfId="14" xr:uid="{00000000-0005-0000-0000-00000F000000}"/>
    <cellStyle name="Standard 2 2" xfId="18" xr:uid="{00000000-0005-0000-0000-000010000000}"/>
    <cellStyle name="Standard 3" xfId="15" xr:uid="{00000000-0005-0000-0000-000011000000}"/>
    <cellStyle name="Standard 4" xfId="12" xr:uid="{00000000-0005-0000-0000-000012000000}"/>
  </cellStyles>
  <dxfs count="345"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numFmt numFmtId="174" formatCode=";;;"/>
      <fill>
        <patternFill>
          <bgColor rgb="FFF2F2F2"/>
        </patternFill>
      </fill>
      <border>
        <left/>
        <right/>
        <top/>
        <bottom/>
        <vertical/>
        <horizontal/>
      </border>
    </dxf>
    <dxf>
      <numFmt numFmtId="174" formatCode=";;;"/>
      <fill>
        <patternFill>
          <bgColor rgb="FFF2F2F2"/>
        </patternFill>
      </fill>
      <border>
        <left/>
        <right/>
        <top/>
        <bottom/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rgb="FFF2F2F2"/>
        </patternFill>
      </fill>
      <border>
        <left/>
        <right/>
        <top/>
        <bottom/>
      </border>
    </dxf>
    <dxf>
      <numFmt numFmtId="174" formatCode=";;;"/>
      <fill>
        <patternFill patternType="solid">
          <bgColor rgb="FFF2F2F2"/>
        </patternFill>
      </fill>
      <border>
        <left/>
        <right/>
        <vertical/>
        <horizontal/>
      </border>
    </dxf>
    <dxf>
      <fill>
        <patternFill patternType="solid">
          <bgColor rgb="FFF2F2F2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font>
        <b/>
        <i val="0"/>
      </font>
      <fill>
        <patternFill>
          <bgColor rgb="FFB8CCE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ont>
        <b val="0"/>
        <i/>
        <u/>
        <color rgb="FFFF555A"/>
      </font>
    </dxf>
    <dxf>
      <font>
        <b val="0"/>
        <i/>
        <u/>
        <color rgb="FFFF555A"/>
      </font>
    </dxf>
    <dxf>
      <fill>
        <patternFill>
          <bgColor rgb="FFFFBBB9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E1E1E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5D9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B9BB"/>
        </patternFill>
      </fill>
    </dxf>
    <dxf>
      <fill>
        <patternFill>
          <bgColor rgb="FFC8EAD3"/>
        </patternFill>
      </fill>
    </dxf>
    <dxf>
      <fill>
        <patternFill>
          <bgColor rgb="FFFFB9BB"/>
        </patternFill>
      </fill>
    </dxf>
    <dxf>
      <fill>
        <patternFill patternType="solid">
          <fgColor auto="1"/>
          <bgColor rgb="FFC8EAD3"/>
        </patternFill>
      </fill>
    </dxf>
    <dxf>
      <numFmt numFmtId="183" formatCode="[h];\-\ [h];&quot;-     &quot;"/>
      <fill>
        <patternFill>
          <bgColor rgb="FFFFB9BB"/>
        </patternFill>
      </fill>
    </dxf>
    <dxf>
      <numFmt numFmtId="183" formatCode="[h];\-\ [h];&quot;-     &quot;"/>
      <fill>
        <patternFill patternType="solid">
          <fgColor auto="1"/>
          <bgColor rgb="FFC8EAD3"/>
        </patternFill>
      </fill>
    </dxf>
    <dxf>
      <numFmt numFmtId="174" formatCode=";;;"/>
      <fill>
        <patternFill>
          <bgColor rgb="FFD9D9D9"/>
        </patternFill>
      </fill>
    </dxf>
    <dxf>
      <fill>
        <patternFill>
          <bgColor rgb="FFFFAA60"/>
        </patternFill>
      </fill>
    </dxf>
    <dxf>
      <fill>
        <patternFill>
          <bgColor rgb="FFFF555A"/>
        </patternFill>
      </fill>
    </dxf>
    <dxf>
      <fill>
        <patternFill>
          <bgColor rgb="FFD8E4BC"/>
        </patternFill>
      </fill>
    </dxf>
    <dxf>
      <fill>
        <gradientFill>
          <stop position="0">
            <color rgb="FFFFFFFF"/>
          </stop>
          <stop position="1">
            <color rgb="FFD8E4BC"/>
          </stop>
        </gradientFill>
      </fill>
    </dxf>
    <dxf>
      <fill>
        <patternFill patternType="solid">
          <bgColor rgb="FFEBF1DE"/>
        </patternFill>
      </fill>
    </dxf>
    <dxf>
      <fill>
        <patternFill>
          <bgColor rgb="FFFF555A"/>
        </patternFill>
      </fill>
    </dxf>
    <dxf>
      <numFmt numFmtId="184" formatCode="@\ * &quot;from &quot;"/>
    </dxf>
    <dxf>
      <numFmt numFmtId="185" formatCode="@\ * &quot;ab &quot;"/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ont>
        <color auto="1"/>
      </font>
      <numFmt numFmtId="186" formatCode="m/d/yyyy"/>
    </dxf>
    <dxf>
      <fill>
        <patternFill>
          <bgColor rgb="FFFF555A"/>
        </patternFill>
      </fill>
    </dxf>
    <dxf>
      <fill>
        <patternFill>
          <bgColor rgb="FFFF555A"/>
        </patternFill>
      </fill>
    </dxf>
    <dxf>
      <fill>
        <patternFill>
          <bgColor rgb="FFFF555A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CCE4"/>
      <color rgb="FFD9D9D9"/>
      <color rgb="FFFFFFFF"/>
      <color rgb="FFFF555A"/>
      <color rgb="FFFF0000"/>
      <color rgb="FFF2F2F2"/>
      <color rgb="FFFFBBB9"/>
      <color rgb="FFD6614E"/>
      <color rgb="FFC8EAD3"/>
      <color rgb="FFFFB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S58"/>
  <sheetViews>
    <sheetView showGridLines="0" tabSelected="1" zoomScaleNormal="100" workbookViewId="0">
      <selection activeCell="B3" sqref="B3:F3"/>
    </sheetView>
  </sheetViews>
  <sheetFormatPr baseColWidth="10" defaultColWidth="10.75" defaultRowHeight="12.75" outlineLevelCol="1" x14ac:dyDescent="0.2"/>
  <cols>
    <col min="1" max="1" width="27" style="31" customWidth="1"/>
    <col min="2" max="2" width="12.875" style="31" bestFit="1" customWidth="1"/>
    <col min="3" max="3" width="2.75" style="33" customWidth="1"/>
    <col min="4" max="5" width="14.125" style="31" customWidth="1"/>
    <col min="6" max="6" width="16.125" style="31" customWidth="1"/>
    <col min="7" max="7" width="2" style="31" customWidth="1"/>
    <col min="8" max="8" width="20.625" style="31" customWidth="1"/>
    <col min="9" max="9" width="12.875" style="31" bestFit="1" customWidth="1"/>
    <col min="10" max="10" width="15.625" style="31" customWidth="1"/>
    <col min="11" max="11" width="14.125" style="31" bestFit="1" customWidth="1"/>
    <col min="12" max="12" width="15.5" style="31" bestFit="1" customWidth="1"/>
    <col min="13" max="13" width="27" style="31" customWidth="1"/>
    <col min="14" max="14" width="3.75" style="31" customWidth="1"/>
    <col min="15" max="15" width="15.75" style="31" hidden="1" customWidth="1" outlineLevel="1"/>
    <col min="16" max="16" width="20.875" style="31" hidden="1" customWidth="1" outlineLevel="1"/>
    <col min="17" max="17" width="20.5" style="31" hidden="1" customWidth="1" outlineLevel="1"/>
    <col min="18" max="18" width="20.875" style="31" hidden="1" customWidth="1" outlineLevel="1"/>
    <col min="19" max="19" width="10.75" style="11" collapsed="1"/>
    <col min="20" max="16384" width="10.75" style="11"/>
  </cols>
  <sheetData>
    <row r="1" spans="1:18" s="36" customFormat="1" ht="22.5" customHeight="1" x14ac:dyDescent="0.2">
      <c r="A1" s="98" t="s">
        <v>29</v>
      </c>
      <c r="B1" s="468" t="s">
        <v>49</v>
      </c>
      <c r="C1" s="469"/>
      <c r="D1" s="469"/>
      <c r="E1" s="469"/>
      <c r="F1" s="99">
        <v>2022</v>
      </c>
      <c r="G1" s="100"/>
      <c r="H1" s="100"/>
      <c r="I1" s="100"/>
      <c r="J1" s="100"/>
      <c r="K1" s="101"/>
      <c r="L1" s="101"/>
      <c r="M1" s="101" t="s">
        <v>261</v>
      </c>
      <c r="N1" s="102" t="s">
        <v>235</v>
      </c>
      <c r="O1" s="100"/>
      <c r="P1" s="100"/>
      <c r="Q1" s="102"/>
      <c r="R1" s="103"/>
    </row>
    <row r="2" spans="1:18" ht="15" customHeight="1" x14ac:dyDescent="0.2">
      <c r="A2" s="104" t="s">
        <v>69</v>
      </c>
      <c r="B2" s="466">
        <f>DATE(EB.Jahr,1,1)</f>
        <v>43100</v>
      </c>
      <c r="C2" s="466"/>
      <c r="D2" s="466"/>
      <c r="E2" s="466"/>
      <c r="F2" s="467"/>
      <c r="G2" s="105"/>
      <c r="H2" s="104" t="s">
        <v>4</v>
      </c>
      <c r="I2" s="464" t="s">
        <v>91</v>
      </c>
      <c r="J2" s="480"/>
      <c r="K2" s="480"/>
      <c r="L2" s="465"/>
      <c r="M2" s="106"/>
      <c r="N2" s="107"/>
      <c r="O2" s="460" t="s">
        <v>57</v>
      </c>
      <c r="P2" s="473"/>
      <c r="Q2" s="473"/>
      <c r="R2" s="461"/>
    </row>
    <row r="3" spans="1:18" ht="15" customHeight="1" x14ac:dyDescent="0.2">
      <c r="A3" s="108" t="s">
        <v>70</v>
      </c>
      <c r="B3" s="454"/>
      <c r="C3" s="455"/>
      <c r="D3" s="455"/>
      <c r="E3" s="455"/>
      <c r="F3" s="456"/>
      <c r="G3" s="109"/>
      <c r="H3" s="104" t="s">
        <v>76</v>
      </c>
      <c r="I3" s="464" t="s">
        <v>92</v>
      </c>
      <c r="J3" s="480"/>
      <c r="K3" s="480"/>
      <c r="L3" s="465"/>
      <c r="M3" s="106"/>
      <c r="N3" s="105"/>
      <c r="O3" s="474" t="s">
        <v>54</v>
      </c>
      <c r="P3" s="475"/>
      <c r="Q3" s="476"/>
      <c r="R3" s="12" t="e">
        <f>EB.Jahr-YEAR(EB.Geburtsjahr)</f>
        <v>#VALUE!</v>
      </c>
    </row>
    <row r="4" spans="1:18" ht="15" customHeight="1" x14ac:dyDescent="0.2">
      <c r="A4" s="104" t="s">
        <v>71</v>
      </c>
      <c r="B4" s="69"/>
      <c r="C4" s="462" t="s">
        <v>51</v>
      </c>
      <c r="D4" s="472"/>
      <c r="E4" s="463"/>
      <c r="F4" s="70" t="str">
        <f>IF(ISNUMBER(EB.Geburtsdatum),EB.Geburtsdatum,"")</f>
        <v/>
      </c>
      <c r="G4" s="110"/>
      <c r="H4" s="104" t="s">
        <v>74</v>
      </c>
      <c r="I4" s="464" t="s">
        <v>211</v>
      </c>
      <c r="J4" s="480"/>
      <c r="K4" s="480"/>
      <c r="L4" s="465"/>
      <c r="M4" s="106"/>
      <c r="N4" s="105"/>
      <c r="O4" s="477" t="s">
        <v>257</v>
      </c>
      <c r="P4" s="111" t="s">
        <v>80</v>
      </c>
      <c r="Q4" s="112"/>
      <c r="R4" s="85" t="e">
        <f>IF(R3&lt;21,2,IF(EB.Lernender=INDEX(T.JaNein.Bereich,1,1),2,0))</f>
        <v>#VALUE!</v>
      </c>
    </row>
    <row r="5" spans="1:18" ht="15" customHeight="1" x14ac:dyDescent="0.2">
      <c r="A5" s="104" t="s">
        <v>73</v>
      </c>
      <c r="B5" s="71"/>
      <c r="C5" s="462" t="s">
        <v>241</v>
      </c>
      <c r="D5" s="463"/>
      <c r="E5" s="95" t="s">
        <v>99</v>
      </c>
      <c r="F5" s="113">
        <f ca="1">IF(EB.Anwendung&lt;&gt;"",MAX(DATE(EB.Jahr,1,1),EB.UJEintritt),"")</f>
        <v>43100</v>
      </c>
      <c r="G5" s="105"/>
      <c r="H5" s="104" t="s">
        <v>75</v>
      </c>
      <c r="I5" s="464" t="s">
        <v>90</v>
      </c>
      <c r="J5" s="480"/>
      <c r="K5" s="480"/>
      <c r="L5" s="465"/>
      <c r="M5" s="106"/>
      <c r="N5" s="105"/>
      <c r="O5" s="478"/>
      <c r="P5" s="114" t="s">
        <v>58</v>
      </c>
      <c r="Q5" s="115"/>
      <c r="R5" s="85" t="e">
        <f>IF(R3&gt;49,2,0)</f>
        <v>#VALUE!</v>
      </c>
    </row>
    <row r="6" spans="1:18" ht="15" customHeight="1" x14ac:dyDescent="0.2">
      <c r="A6" s="104" t="s">
        <v>112</v>
      </c>
      <c r="B6" s="69"/>
      <c r="C6" s="462" t="s">
        <v>113</v>
      </c>
      <c r="D6" s="472"/>
      <c r="E6" s="463"/>
      <c r="F6" s="75"/>
      <c r="G6" s="105"/>
      <c r="H6" s="104" t="s">
        <v>88</v>
      </c>
      <c r="I6" s="92" t="s">
        <v>99</v>
      </c>
      <c r="J6" s="460" t="s">
        <v>228</v>
      </c>
      <c r="K6" s="461"/>
      <c r="L6" s="93" t="s">
        <v>229</v>
      </c>
      <c r="M6" s="106"/>
      <c r="N6" s="105"/>
      <c r="O6" s="479"/>
      <c r="P6" s="114" t="s">
        <v>53</v>
      </c>
      <c r="Q6" s="115"/>
      <c r="R6" s="85" t="e">
        <f>IF(R3&gt;59,5,0)</f>
        <v>#VALUE!</v>
      </c>
    </row>
    <row r="7" spans="1:18" ht="15" customHeight="1" x14ac:dyDescent="0.2">
      <c r="A7" s="116" t="str">
        <f ca="1">IFERROR(INFO("VERSION"),"andere")</f>
        <v>16.0</v>
      </c>
      <c r="B7" s="105"/>
      <c r="C7" s="462" t="s">
        <v>242</v>
      </c>
      <c r="D7" s="463"/>
      <c r="E7" s="464"/>
      <c r="F7" s="465"/>
      <c r="G7" s="105"/>
      <c r="H7" s="104" t="s">
        <v>100</v>
      </c>
      <c r="I7" s="76">
        <v>1.75</v>
      </c>
      <c r="J7" s="460" t="s">
        <v>146</v>
      </c>
      <c r="K7" s="461"/>
      <c r="L7" s="74">
        <v>100</v>
      </c>
      <c r="M7" s="117"/>
      <c r="N7" s="105"/>
      <c r="O7" s="118"/>
      <c r="P7" s="119"/>
      <c r="Q7" s="118"/>
      <c r="R7" s="120"/>
    </row>
    <row r="8" spans="1:18" ht="15.75" x14ac:dyDescent="0.2">
      <c r="A8" s="121" t="s">
        <v>34</v>
      </c>
      <c r="B8" s="122"/>
      <c r="C8" s="123"/>
      <c r="D8" s="122"/>
      <c r="E8" s="122"/>
      <c r="F8" s="122"/>
      <c r="G8" s="122"/>
      <c r="H8" s="122"/>
      <c r="I8" s="122"/>
      <c r="J8" s="122"/>
      <c r="K8" s="122"/>
      <c r="L8" s="122"/>
      <c r="M8" s="106"/>
      <c r="N8" s="124"/>
      <c r="O8" s="122"/>
      <c r="P8" s="122"/>
      <c r="Q8" s="122"/>
      <c r="R8" s="125"/>
    </row>
    <row r="9" spans="1:18" ht="15" customHeight="1" x14ac:dyDescent="0.2">
      <c r="A9" s="126" t="s">
        <v>39</v>
      </c>
      <c r="B9" s="127"/>
      <c r="C9" s="128"/>
      <c r="D9" s="127"/>
      <c r="E9" s="127"/>
      <c r="F9" s="127"/>
      <c r="G9" s="127"/>
      <c r="H9" s="127"/>
      <c r="I9" s="127"/>
      <c r="J9" s="127"/>
      <c r="K9" s="127"/>
      <c r="L9" s="127"/>
      <c r="M9" s="129"/>
      <c r="N9" s="130"/>
      <c r="O9" s="130"/>
      <c r="P9" s="130"/>
      <c r="Q9" s="131"/>
      <c r="R9" s="132"/>
    </row>
    <row r="10" spans="1:18" ht="15" customHeight="1" x14ac:dyDescent="0.2">
      <c r="A10" s="118"/>
      <c r="B10" s="118"/>
      <c r="C10" s="133"/>
      <c r="D10" s="134" t="s">
        <v>255</v>
      </c>
      <c r="E10" s="14" t="str">
        <f>IF(EB.Geburtsjahr="","0",(25+R4+R5+R6))</f>
        <v>0</v>
      </c>
      <c r="F10" s="135"/>
      <c r="G10" s="135"/>
      <c r="H10" s="118"/>
      <c r="I10" s="118"/>
      <c r="J10" s="134" t="s">
        <v>256</v>
      </c>
      <c r="K10" s="14" t="str">
        <f ca="1">IF(K25=0,"-     ",(K25/(EB.Wochenarbeitszeit/5)))</f>
        <v xml:space="preserve">-     </v>
      </c>
      <c r="L10" s="135"/>
      <c r="M10" s="135"/>
      <c r="N10" s="135"/>
      <c r="O10" s="118"/>
      <c r="P10" s="118"/>
      <c r="Q10" s="118"/>
      <c r="R10" s="136"/>
    </row>
    <row r="11" spans="1:18" ht="15" customHeight="1" x14ac:dyDescent="0.2">
      <c r="A11" s="137"/>
      <c r="B11" s="137"/>
      <c r="C11" s="138"/>
      <c r="D11" s="139" t="s">
        <v>40</v>
      </c>
      <c r="E11" s="140"/>
      <c r="F11" s="15">
        <f>IF(EB.Wochenarbeitszeit=50/24,0,126/24)</f>
        <v>5.25</v>
      </c>
      <c r="G11" s="135"/>
      <c r="H11" s="137"/>
      <c r="I11" s="137"/>
      <c r="J11" s="139" t="s">
        <v>66</v>
      </c>
      <c r="K11" s="141"/>
      <c r="L11" s="16">
        <f ca="1">L25</f>
        <v>5.25</v>
      </c>
      <c r="M11" s="106"/>
      <c r="N11" s="135"/>
      <c r="O11" s="118"/>
      <c r="P11" s="118"/>
      <c r="Q11" s="118"/>
      <c r="R11" s="136"/>
    </row>
    <row r="12" spans="1:18" ht="25.5" x14ac:dyDescent="0.2">
      <c r="A12" s="142" t="s">
        <v>6</v>
      </c>
      <c r="B12" s="143" t="s">
        <v>149</v>
      </c>
      <c r="C12" s="470" t="s">
        <v>221</v>
      </c>
      <c r="D12" s="471"/>
      <c r="E12" s="144" t="s">
        <v>150</v>
      </c>
      <c r="F12" s="143" t="s">
        <v>48</v>
      </c>
      <c r="G12" s="145"/>
      <c r="H12" s="143" t="s">
        <v>151</v>
      </c>
      <c r="I12" s="143" t="s">
        <v>152</v>
      </c>
      <c r="J12" s="143" t="s">
        <v>220</v>
      </c>
      <c r="K12" s="144" t="s">
        <v>153</v>
      </c>
      <c r="L12" s="143" t="s">
        <v>154</v>
      </c>
      <c r="M12" s="106"/>
      <c r="N12" s="145"/>
      <c r="O12" s="146" t="s">
        <v>55</v>
      </c>
      <c r="P12" s="146" t="s">
        <v>56</v>
      </c>
      <c r="Q12" s="147" t="s">
        <v>19</v>
      </c>
      <c r="R12" s="146" t="s">
        <v>64</v>
      </c>
    </row>
    <row r="13" spans="1:18" ht="15" customHeight="1" x14ac:dyDescent="0.2">
      <c r="A13" s="148" t="s">
        <v>114</v>
      </c>
      <c r="B13" s="17">
        <f ca="1">IF(EB.Anwendung&lt;&gt;"",Januar!Monat.AZSoll100.Total,"")</f>
        <v>7.349999999999997</v>
      </c>
      <c r="C13" s="18"/>
      <c r="D13" s="19">
        <f t="shared" ref="D13:D24" si="0">ROUND(EB.Wochenarbeitszeit/5*1440,0)/1440</f>
        <v>0.35</v>
      </c>
      <c r="E13" s="19">
        <f>E25/12</f>
        <v>0</v>
      </c>
      <c r="F13" s="20">
        <f>F11/12</f>
        <v>0.4375</v>
      </c>
      <c r="G13" s="135"/>
      <c r="H13" s="149">
        <f t="shared" ref="H13:H24" si="1">IF(OR(AND(EB.UJEintritt&lt;&gt;"",MONTH(EB.UJEintritt)&gt;ROW(H13)-ROW(EB.EffBG.Knoten)),AND(EB.UJAustritt&lt;&gt;"",MONTH(EB.UJAustritt)&lt;ROW(H13)-ROW(EB.EffBG.Knoten))),0,IF(MONTH(EB.UJEintritt)=ROW(H13)-ROW(EB.EffBG.Knoten),EB.BG,IF(ROW(H13)-ROW(EB.EffBG.Knoten) &gt; 1,H12,EB.BG)))</f>
        <v>100</v>
      </c>
      <c r="I13" s="20">
        <f ca="1">IF(EB.Anwendung&lt;&gt;"",Januar!Monat.AZSoll.Total,"")</f>
        <v>7.349999999999997</v>
      </c>
      <c r="J13" s="20">
        <f t="shared" ref="J13:J24" si="2">ROUND(EB.Wochenarbeitszeit/5/100*H13*1440,0)/1440</f>
        <v>0.35</v>
      </c>
      <c r="K13" s="19">
        <f ca="1">ROUND(E13*I13/B13*1440,0)/1440</f>
        <v>0</v>
      </c>
      <c r="L13" s="20">
        <f ca="1">ROUND(F13*I13/B13*1440,0)/1440</f>
        <v>0.4375</v>
      </c>
      <c r="M13" s="106"/>
      <c r="N13" s="135"/>
      <c r="O13" s="22">
        <f ca="1">I13</f>
        <v>7.349999999999997</v>
      </c>
      <c r="P13" s="22">
        <f ca="1">K13</f>
        <v>0</v>
      </c>
      <c r="Q13" s="23">
        <f ca="1">L13</f>
        <v>0.4375</v>
      </c>
      <c r="R13" s="13">
        <f t="shared" ref="R13:R23" ca="1" si="3">IF(I13=0,0,1)</f>
        <v>1</v>
      </c>
    </row>
    <row r="14" spans="1:18" ht="15" customHeight="1" x14ac:dyDescent="0.2">
      <c r="A14" s="148" t="s">
        <v>115</v>
      </c>
      <c r="B14" s="17">
        <f ca="1">IF(EB.Anwendung&lt;&gt;"",Februar!Monat.AZSoll100.Total,"")</f>
        <v>6.9999999999999973</v>
      </c>
      <c r="C14" s="18"/>
      <c r="D14" s="19">
        <f t="shared" si="0"/>
        <v>0.35</v>
      </c>
      <c r="E14" s="19">
        <f>E25/12</f>
        <v>0</v>
      </c>
      <c r="F14" s="20">
        <f>F11/12</f>
        <v>0.4375</v>
      </c>
      <c r="G14" s="135"/>
      <c r="H14" s="149">
        <f t="shared" si="1"/>
        <v>100</v>
      </c>
      <c r="I14" s="20">
        <f ca="1">IF(EB.Anwendung&lt;&gt;"",Februar!Monat.AZSoll.Total,"")</f>
        <v>6.9999999999999973</v>
      </c>
      <c r="J14" s="20">
        <f t="shared" si="2"/>
        <v>0.35</v>
      </c>
      <c r="K14" s="19">
        <f t="shared" ref="K14:K24" ca="1" si="4">ROUND(E14*I14/B14*1440,0)/1440</f>
        <v>0</v>
      </c>
      <c r="L14" s="20">
        <f t="shared" ref="L14:L24" ca="1" si="5">ROUND(F14*I14/B14*1440,0)/1440</f>
        <v>0.4375</v>
      </c>
      <c r="M14" s="106"/>
      <c r="N14" s="135"/>
      <c r="O14" s="22">
        <f t="shared" ref="O14:O24" ca="1" si="6">O13+I14</f>
        <v>14.349999999999994</v>
      </c>
      <c r="P14" s="22">
        <f t="shared" ref="P14:P24" ca="1" si="7">P13+K14</f>
        <v>0</v>
      </c>
      <c r="Q14" s="23">
        <f t="shared" ref="Q14:Q24" ca="1" si="8">Q13+L14</f>
        <v>0.875</v>
      </c>
      <c r="R14" s="13">
        <f t="shared" ca="1" si="3"/>
        <v>1</v>
      </c>
    </row>
    <row r="15" spans="1:18" ht="15" customHeight="1" x14ac:dyDescent="0.2">
      <c r="A15" s="148" t="s">
        <v>116</v>
      </c>
      <c r="B15" s="17">
        <f ca="1">IF(EB.Anwendung&lt;&gt;"",März!Monat.AZSoll100.Total,"")</f>
        <v>8.0499999999999972</v>
      </c>
      <c r="C15" s="18"/>
      <c r="D15" s="19">
        <f t="shared" si="0"/>
        <v>0.35</v>
      </c>
      <c r="E15" s="19">
        <f>E25/12</f>
        <v>0</v>
      </c>
      <c r="F15" s="20">
        <f>F11/12</f>
        <v>0.4375</v>
      </c>
      <c r="G15" s="135"/>
      <c r="H15" s="149">
        <f t="shared" si="1"/>
        <v>100</v>
      </c>
      <c r="I15" s="20">
        <f ca="1">IF(EB.Anwendung&lt;&gt;"",März!Monat.AZSoll.Total,"")</f>
        <v>8.0499999999999972</v>
      </c>
      <c r="J15" s="20">
        <f t="shared" si="2"/>
        <v>0.35</v>
      </c>
      <c r="K15" s="19">
        <f t="shared" ca="1" si="4"/>
        <v>0</v>
      </c>
      <c r="L15" s="20">
        <f t="shared" ca="1" si="5"/>
        <v>0.4375</v>
      </c>
      <c r="M15" s="106"/>
      <c r="N15" s="135"/>
      <c r="O15" s="22">
        <f t="shared" ca="1" si="6"/>
        <v>22.399999999999991</v>
      </c>
      <c r="P15" s="22">
        <f t="shared" ca="1" si="7"/>
        <v>0</v>
      </c>
      <c r="Q15" s="23">
        <f t="shared" ca="1" si="8"/>
        <v>1.3125</v>
      </c>
      <c r="R15" s="13">
        <f t="shared" ca="1" si="3"/>
        <v>1</v>
      </c>
    </row>
    <row r="16" spans="1:18" ht="15" customHeight="1" x14ac:dyDescent="0.2">
      <c r="A16" s="148" t="s">
        <v>117</v>
      </c>
      <c r="B16" s="17">
        <f ca="1">IF(EB.Anwendung&lt;&gt;"",April!Monat.AZSoll100.Total,"")</f>
        <v>6.3749999999999982</v>
      </c>
      <c r="C16" s="18"/>
      <c r="D16" s="19">
        <f t="shared" si="0"/>
        <v>0.35</v>
      </c>
      <c r="E16" s="19">
        <f>E25/12</f>
        <v>0</v>
      </c>
      <c r="F16" s="20">
        <f>F11/12</f>
        <v>0.4375</v>
      </c>
      <c r="G16" s="135"/>
      <c r="H16" s="149">
        <f t="shared" si="1"/>
        <v>100</v>
      </c>
      <c r="I16" s="20">
        <f ca="1">IF(EB.Anwendung&lt;&gt;"",April!Monat.AZSoll.Total,"")</f>
        <v>6.3749999999999982</v>
      </c>
      <c r="J16" s="20">
        <f t="shared" si="2"/>
        <v>0.35</v>
      </c>
      <c r="K16" s="19">
        <f t="shared" ca="1" si="4"/>
        <v>0</v>
      </c>
      <c r="L16" s="20">
        <f t="shared" ca="1" si="5"/>
        <v>0.4375</v>
      </c>
      <c r="M16" s="106"/>
      <c r="N16" s="135"/>
      <c r="O16" s="22">
        <f t="shared" ca="1" si="6"/>
        <v>28.774999999999991</v>
      </c>
      <c r="P16" s="22">
        <f t="shared" ca="1" si="7"/>
        <v>0</v>
      </c>
      <c r="Q16" s="23">
        <f t="shared" ca="1" si="8"/>
        <v>1.75</v>
      </c>
      <c r="R16" s="13">
        <f t="shared" ca="1" si="3"/>
        <v>1</v>
      </c>
    </row>
    <row r="17" spans="1:18" ht="15" customHeight="1" x14ac:dyDescent="0.2">
      <c r="A17" s="148" t="s">
        <v>118</v>
      </c>
      <c r="B17" s="17">
        <f ca="1">IF(EB.Anwendung&lt;&gt;"",Mai!Monat.AZSoll100.Total,"")</f>
        <v>7.2499999999999973</v>
      </c>
      <c r="C17" s="18"/>
      <c r="D17" s="19">
        <f t="shared" si="0"/>
        <v>0.35</v>
      </c>
      <c r="E17" s="19">
        <f>E25/12</f>
        <v>0</v>
      </c>
      <c r="F17" s="20">
        <f>F11/12</f>
        <v>0.4375</v>
      </c>
      <c r="G17" s="135"/>
      <c r="H17" s="149">
        <f t="shared" si="1"/>
        <v>100</v>
      </c>
      <c r="I17" s="20">
        <f ca="1">IF(EB.Anwendung&lt;&gt;"",Mai!Monat.AZSoll.Total,"")</f>
        <v>7.2499999999999973</v>
      </c>
      <c r="J17" s="20">
        <f t="shared" si="2"/>
        <v>0.35</v>
      </c>
      <c r="K17" s="19">
        <f t="shared" ca="1" si="4"/>
        <v>0</v>
      </c>
      <c r="L17" s="20">
        <f t="shared" ca="1" si="5"/>
        <v>0.4375</v>
      </c>
      <c r="M17" s="106"/>
      <c r="N17" s="135"/>
      <c r="O17" s="22">
        <f t="shared" ca="1" si="6"/>
        <v>36.024999999999991</v>
      </c>
      <c r="P17" s="22">
        <f t="shared" ca="1" si="7"/>
        <v>0</v>
      </c>
      <c r="Q17" s="23">
        <f t="shared" ca="1" si="8"/>
        <v>2.1875</v>
      </c>
      <c r="R17" s="13">
        <f t="shared" ca="1" si="3"/>
        <v>1</v>
      </c>
    </row>
    <row r="18" spans="1:18" ht="15" customHeight="1" x14ac:dyDescent="0.2">
      <c r="A18" s="148" t="s">
        <v>119</v>
      </c>
      <c r="B18" s="17">
        <f ca="1">IF(EB.Anwendung&lt;&gt;"",Juni!Monat.AZSoll100.Total,"")</f>
        <v>7.349999999999997</v>
      </c>
      <c r="C18" s="18"/>
      <c r="D18" s="19">
        <f t="shared" si="0"/>
        <v>0.35</v>
      </c>
      <c r="E18" s="19">
        <f>E25/12</f>
        <v>0</v>
      </c>
      <c r="F18" s="20">
        <f>F11/12</f>
        <v>0.4375</v>
      </c>
      <c r="G18" s="135"/>
      <c r="H18" s="149">
        <f t="shared" si="1"/>
        <v>100</v>
      </c>
      <c r="I18" s="20">
        <f ca="1">IF(EB.Anwendung&lt;&gt;"",Juni!Monat.AZSoll.Total,"")</f>
        <v>7.349999999999997</v>
      </c>
      <c r="J18" s="20">
        <f t="shared" si="2"/>
        <v>0.35</v>
      </c>
      <c r="K18" s="19">
        <f t="shared" ca="1" si="4"/>
        <v>0</v>
      </c>
      <c r="L18" s="20">
        <f t="shared" ca="1" si="5"/>
        <v>0.4375</v>
      </c>
      <c r="M18" s="106"/>
      <c r="N18" s="135"/>
      <c r="O18" s="22">
        <f t="shared" ca="1" si="6"/>
        <v>43.374999999999986</v>
      </c>
      <c r="P18" s="22">
        <f t="shared" ca="1" si="7"/>
        <v>0</v>
      </c>
      <c r="Q18" s="23">
        <f t="shared" ca="1" si="8"/>
        <v>2.625</v>
      </c>
      <c r="R18" s="13">
        <f t="shared" ca="1" si="3"/>
        <v>1</v>
      </c>
    </row>
    <row r="19" spans="1:18" ht="15" customHeight="1" x14ac:dyDescent="0.2">
      <c r="A19" s="148" t="s">
        <v>120</v>
      </c>
      <c r="B19" s="17">
        <f ca="1">IF(EB.Anwendung&lt;&gt;"",Juli!Monat.AZSoll100.Total,"")</f>
        <v>7.349999999999997</v>
      </c>
      <c r="C19" s="18"/>
      <c r="D19" s="19">
        <f t="shared" si="0"/>
        <v>0.35</v>
      </c>
      <c r="E19" s="19">
        <f>E25/12</f>
        <v>0</v>
      </c>
      <c r="F19" s="20">
        <f>F11/12</f>
        <v>0.4375</v>
      </c>
      <c r="G19" s="135"/>
      <c r="H19" s="149">
        <f t="shared" si="1"/>
        <v>100</v>
      </c>
      <c r="I19" s="20">
        <f ca="1">IF(EB.Anwendung&lt;&gt;"",Juli!Monat.AZSoll.Total,"")</f>
        <v>7.349999999999997</v>
      </c>
      <c r="J19" s="20">
        <f t="shared" si="2"/>
        <v>0.35</v>
      </c>
      <c r="K19" s="19">
        <f t="shared" ca="1" si="4"/>
        <v>0</v>
      </c>
      <c r="L19" s="20">
        <f t="shared" ca="1" si="5"/>
        <v>0.4375</v>
      </c>
      <c r="M19" s="106"/>
      <c r="N19" s="135"/>
      <c r="O19" s="22">
        <f t="shared" ca="1" si="6"/>
        <v>50.72499999999998</v>
      </c>
      <c r="P19" s="22">
        <f t="shared" ca="1" si="7"/>
        <v>0</v>
      </c>
      <c r="Q19" s="23">
        <f t="shared" ca="1" si="8"/>
        <v>3.0625</v>
      </c>
      <c r="R19" s="13">
        <f t="shared" ca="1" si="3"/>
        <v>1</v>
      </c>
    </row>
    <row r="20" spans="1:18" ht="15" customHeight="1" x14ac:dyDescent="0.2">
      <c r="A20" s="148" t="s">
        <v>121</v>
      </c>
      <c r="B20" s="17">
        <f ca="1">IF(EB.Anwendung&lt;&gt;"",August!Monat.AZSoll100.Total,"")</f>
        <v>7.6999999999999966</v>
      </c>
      <c r="C20" s="18"/>
      <c r="D20" s="19">
        <f t="shared" si="0"/>
        <v>0.35</v>
      </c>
      <c r="E20" s="19">
        <f>E25/12</f>
        <v>0</v>
      </c>
      <c r="F20" s="20">
        <f>F11/12</f>
        <v>0.4375</v>
      </c>
      <c r="G20" s="135"/>
      <c r="H20" s="149">
        <f t="shared" si="1"/>
        <v>100</v>
      </c>
      <c r="I20" s="20">
        <f ca="1">IF(EB.Anwendung&lt;&gt;"",August!Monat.AZSoll.Total,"")</f>
        <v>7.6999999999999966</v>
      </c>
      <c r="J20" s="20">
        <f t="shared" si="2"/>
        <v>0.35</v>
      </c>
      <c r="K20" s="19">
        <f t="shared" ca="1" si="4"/>
        <v>0</v>
      </c>
      <c r="L20" s="20">
        <f t="shared" ca="1" si="5"/>
        <v>0.4375</v>
      </c>
      <c r="M20" s="106"/>
      <c r="N20" s="135"/>
      <c r="O20" s="22">
        <f t="shared" ca="1" si="6"/>
        <v>58.424999999999976</v>
      </c>
      <c r="P20" s="22">
        <f t="shared" ca="1" si="7"/>
        <v>0</v>
      </c>
      <c r="Q20" s="23">
        <f t="shared" ca="1" si="8"/>
        <v>3.5</v>
      </c>
      <c r="R20" s="13">
        <f t="shared" ca="1" si="3"/>
        <v>1</v>
      </c>
    </row>
    <row r="21" spans="1:18" ht="15" customHeight="1" x14ac:dyDescent="0.2">
      <c r="A21" s="148" t="s">
        <v>122</v>
      </c>
      <c r="B21" s="17">
        <f ca="1">IF(EB.Anwendung&lt;&gt;"",September!Monat.AZSoll100.Total,"")</f>
        <v>7.5249999999999968</v>
      </c>
      <c r="C21" s="18"/>
      <c r="D21" s="19">
        <f t="shared" si="0"/>
        <v>0.35</v>
      </c>
      <c r="E21" s="19">
        <f>E25/12</f>
        <v>0</v>
      </c>
      <c r="F21" s="20">
        <f>F11/12</f>
        <v>0.4375</v>
      </c>
      <c r="G21" s="135"/>
      <c r="H21" s="149">
        <f t="shared" si="1"/>
        <v>100</v>
      </c>
      <c r="I21" s="20">
        <f ca="1">IF(EB.Anwendung&lt;&gt;"",September!Monat.AZSoll.Total,"")</f>
        <v>7.5249999999999968</v>
      </c>
      <c r="J21" s="20">
        <f t="shared" si="2"/>
        <v>0.35</v>
      </c>
      <c r="K21" s="19">
        <f t="shared" ca="1" si="4"/>
        <v>0</v>
      </c>
      <c r="L21" s="20">
        <f t="shared" ca="1" si="5"/>
        <v>0.4375</v>
      </c>
      <c r="M21" s="106"/>
      <c r="N21" s="135"/>
      <c r="O21" s="22">
        <f t="shared" ca="1" si="6"/>
        <v>65.949999999999974</v>
      </c>
      <c r="P21" s="22">
        <f t="shared" ca="1" si="7"/>
        <v>0</v>
      </c>
      <c r="Q21" s="23">
        <f t="shared" ca="1" si="8"/>
        <v>3.9375</v>
      </c>
      <c r="R21" s="13">
        <f t="shared" ca="1" si="3"/>
        <v>1</v>
      </c>
    </row>
    <row r="22" spans="1:18" ht="15" customHeight="1" x14ac:dyDescent="0.2">
      <c r="A22" s="148" t="s">
        <v>123</v>
      </c>
      <c r="B22" s="17">
        <f ca="1">IF(EB.Anwendung&lt;&gt;"",Oktober!Monat.AZSoll100.Total,"")</f>
        <v>7.349999999999997</v>
      </c>
      <c r="C22" s="18"/>
      <c r="D22" s="19">
        <f t="shared" si="0"/>
        <v>0.35</v>
      </c>
      <c r="E22" s="19">
        <f>E25/12</f>
        <v>0</v>
      </c>
      <c r="F22" s="20">
        <f>F11/12</f>
        <v>0.4375</v>
      </c>
      <c r="G22" s="135"/>
      <c r="H22" s="149">
        <f t="shared" si="1"/>
        <v>100</v>
      </c>
      <c r="I22" s="20">
        <f ca="1">IF(EB.Anwendung&lt;&gt;"",Oktober!Monat.AZSoll.Total,"")</f>
        <v>7.349999999999997</v>
      </c>
      <c r="J22" s="20">
        <f t="shared" si="2"/>
        <v>0.35</v>
      </c>
      <c r="K22" s="19">
        <f t="shared" ca="1" si="4"/>
        <v>0</v>
      </c>
      <c r="L22" s="20">
        <f t="shared" ca="1" si="5"/>
        <v>0.4375</v>
      </c>
      <c r="M22" s="106"/>
      <c r="N22" s="135"/>
      <c r="O22" s="22">
        <f t="shared" ca="1" si="6"/>
        <v>73.299999999999969</v>
      </c>
      <c r="P22" s="22">
        <f t="shared" ca="1" si="7"/>
        <v>0</v>
      </c>
      <c r="Q22" s="23">
        <f t="shared" ca="1" si="8"/>
        <v>4.375</v>
      </c>
      <c r="R22" s="13">
        <f t="shared" ca="1" si="3"/>
        <v>1</v>
      </c>
    </row>
    <row r="23" spans="1:18" ht="15" customHeight="1" x14ac:dyDescent="0.2">
      <c r="A23" s="148" t="s">
        <v>124</v>
      </c>
      <c r="B23" s="17">
        <f ca="1">IF(EB.Anwendung&lt;&gt;"",November!Monat.AZSoll100.Total,"")</f>
        <v>7.6999999999999966</v>
      </c>
      <c r="C23" s="18"/>
      <c r="D23" s="19">
        <f t="shared" si="0"/>
        <v>0.35</v>
      </c>
      <c r="E23" s="19">
        <f>E25/12</f>
        <v>0</v>
      </c>
      <c r="F23" s="20">
        <f>F11/12</f>
        <v>0.4375</v>
      </c>
      <c r="G23" s="135"/>
      <c r="H23" s="149">
        <f t="shared" si="1"/>
        <v>100</v>
      </c>
      <c r="I23" s="20">
        <f ca="1">IF(EB.Anwendung&lt;&gt;"",November!Monat.AZSoll.Total,"")</f>
        <v>7.6999999999999966</v>
      </c>
      <c r="J23" s="20">
        <f t="shared" si="2"/>
        <v>0.35</v>
      </c>
      <c r="K23" s="19">
        <f t="shared" ca="1" si="4"/>
        <v>0</v>
      </c>
      <c r="L23" s="20">
        <f t="shared" ca="1" si="5"/>
        <v>0.4375</v>
      </c>
      <c r="M23" s="106"/>
      <c r="N23" s="135"/>
      <c r="O23" s="22">
        <f t="shared" ca="1" si="6"/>
        <v>80.999999999999972</v>
      </c>
      <c r="P23" s="22">
        <f t="shared" ca="1" si="7"/>
        <v>0</v>
      </c>
      <c r="Q23" s="23">
        <f t="shared" ca="1" si="8"/>
        <v>4.8125</v>
      </c>
      <c r="R23" s="13">
        <f t="shared" ca="1" si="3"/>
        <v>1</v>
      </c>
    </row>
    <row r="24" spans="1:18" ht="15" customHeight="1" x14ac:dyDescent="0.2">
      <c r="A24" s="148" t="s">
        <v>125</v>
      </c>
      <c r="B24" s="17">
        <f ca="1">IF(EB.Anwendung&lt;&gt;"",Dezember!Monat.AZSoll100.Total,"")</f>
        <v>7.349999999999997</v>
      </c>
      <c r="C24" s="18"/>
      <c r="D24" s="19">
        <f t="shared" si="0"/>
        <v>0.35</v>
      </c>
      <c r="E24" s="19">
        <f>E25/12</f>
        <v>0</v>
      </c>
      <c r="F24" s="20">
        <f>F11/12</f>
        <v>0.4375</v>
      </c>
      <c r="G24" s="135"/>
      <c r="H24" s="149">
        <f t="shared" si="1"/>
        <v>100</v>
      </c>
      <c r="I24" s="20">
        <f ca="1">IF(EB.Anwendung&lt;&gt;"",Dezember!Monat.AZSoll.Total,"")</f>
        <v>7.349999999999997</v>
      </c>
      <c r="J24" s="20">
        <f t="shared" si="2"/>
        <v>0.35</v>
      </c>
      <c r="K24" s="19">
        <f t="shared" ca="1" si="4"/>
        <v>0</v>
      </c>
      <c r="L24" s="20">
        <f t="shared" ca="1" si="5"/>
        <v>0.4375</v>
      </c>
      <c r="M24" s="106"/>
      <c r="N24" s="135"/>
      <c r="O24" s="22">
        <f t="shared" ca="1" si="6"/>
        <v>88.349999999999966</v>
      </c>
      <c r="P24" s="22">
        <f t="shared" ca="1" si="7"/>
        <v>0</v>
      </c>
      <c r="Q24" s="23">
        <f t="shared" ca="1" si="8"/>
        <v>5.25</v>
      </c>
      <c r="R24" s="13">
        <f ca="1">IF(I24=0,0,1)</f>
        <v>1</v>
      </c>
    </row>
    <row r="25" spans="1:18" ht="15" customHeight="1" x14ac:dyDescent="0.2">
      <c r="A25" s="150" t="s">
        <v>5</v>
      </c>
      <c r="B25" s="151">
        <f ca="1">SUM(B13:B24)</f>
        <v>88.349999999999966</v>
      </c>
      <c r="C25" s="152"/>
      <c r="D25" s="117"/>
      <c r="E25" s="24">
        <f>E10*(EB.Wochenarbeitszeit/5)</f>
        <v>0</v>
      </c>
      <c r="F25" s="151">
        <f>SUM(F13:F24)</f>
        <v>5.25</v>
      </c>
      <c r="G25" s="106"/>
      <c r="H25" s="153">
        <f ca="1">IF(R25=0,"-     ",AVERAGEIF(H13:H24,"&gt;0"))</f>
        <v>100</v>
      </c>
      <c r="I25" s="151">
        <f ca="1">SUM(I13:I24)</f>
        <v>88.349999999999966</v>
      </c>
      <c r="J25" s="151">
        <f>IF(SUM(J13:J24)&gt;0,ROUND(AVERAGEIF(J13:J24,"&gt;0")*1440,0)/1440,0)</f>
        <v>0.35</v>
      </c>
      <c r="K25" s="151">
        <f ca="1">SUM(K13:K24)</f>
        <v>0</v>
      </c>
      <c r="L25" s="151">
        <f ca="1">SUM(L13:L24)</f>
        <v>5.25</v>
      </c>
      <c r="M25" s="106"/>
      <c r="N25" s="106"/>
      <c r="O25" s="118"/>
      <c r="P25" s="118"/>
      <c r="Q25" s="136"/>
      <c r="R25" s="154">
        <f ca="1">SUM(R13:R24)</f>
        <v>12</v>
      </c>
    </row>
    <row r="26" spans="1:18" ht="15" customHeight="1" x14ac:dyDescent="0.2">
      <c r="A26" s="125"/>
      <c r="B26" s="125"/>
      <c r="C26" s="155"/>
      <c r="D26" s="125"/>
      <c r="E26" s="125"/>
      <c r="F26" s="125"/>
      <c r="G26" s="125"/>
      <c r="H26" s="156" t="s">
        <v>65</v>
      </c>
      <c r="I26" s="125"/>
      <c r="J26" s="125"/>
      <c r="K26" s="125"/>
      <c r="L26" s="125"/>
      <c r="M26" s="125"/>
      <c r="N26" s="122"/>
      <c r="O26" s="125"/>
      <c r="P26" s="125"/>
      <c r="Q26" s="125"/>
      <c r="R26" s="125"/>
    </row>
    <row r="27" spans="1:18" ht="15.75" x14ac:dyDescent="0.25">
      <c r="A27" s="157" t="s">
        <v>35</v>
      </c>
      <c r="B27" s="158"/>
      <c r="C27" s="159"/>
      <c r="D27" s="158"/>
      <c r="E27" s="158"/>
      <c r="F27" s="158"/>
      <c r="G27" s="158"/>
      <c r="H27" s="457" t="s">
        <v>24</v>
      </c>
      <c r="I27" s="457"/>
      <c r="J27" s="457"/>
      <c r="K27" s="457"/>
      <c r="L27" s="125"/>
      <c r="M27" s="125"/>
      <c r="N27" s="122"/>
      <c r="O27" s="125"/>
      <c r="P27" s="125"/>
      <c r="Q27" s="125"/>
      <c r="R27" s="125"/>
    </row>
    <row r="28" spans="1:18" ht="41.25" customHeight="1" x14ac:dyDescent="0.2">
      <c r="A28" s="160"/>
      <c r="B28" s="161" t="s">
        <v>36</v>
      </c>
      <c r="C28" s="458" t="s">
        <v>7</v>
      </c>
      <c r="D28" s="459"/>
      <c r="E28" s="161" t="s">
        <v>5</v>
      </c>
      <c r="F28" s="145"/>
      <c r="G28" s="145"/>
      <c r="H28" s="451" t="s">
        <v>249</v>
      </c>
      <c r="I28" s="452"/>
      <c r="J28" s="452"/>
      <c r="K28" s="452"/>
      <c r="L28" s="452"/>
      <c r="M28" s="453"/>
      <c r="N28" s="162"/>
      <c r="O28" s="163" t="s">
        <v>111</v>
      </c>
      <c r="P28" s="164"/>
      <c r="Q28" s="164"/>
      <c r="R28" s="164"/>
    </row>
    <row r="29" spans="1:18" ht="15" customHeight="1" x14ac:dyDescent="0.2">
      <c r="A29" s="165" t="s">
        <v>59</v>
      </c>
      <c r="B29" s="445"/>
      <c r="C29" s="25" t="s">
        <v>28</v>
      </c>
      <c r="D29" s="26"/>
      <c r="E29" s="166">
        <f>IF(C29="+",D29,(D29*-1))</f>
        <v>0</v>
      </c>
      <c r="F29" s="145"/>
      <c r="G29" s="145"/>
      <c r="H29" s="167">
        <f>COUNTIF(EB.Projekte.RahmenBereich,"&lt;&gt;")-COUNTIF(EB.Projekte.RahmenBereich,"=Projekt 1?")-COUNTIF(EB.Projekte.RahmenBereich,"=Projekt 1")-COUNTIF(EB.Projekte.RahmenBereich,"=Projekt 2")-COUNTIF(EB.Projekte.RahmenBereich,"=Projekt 3")-COUNTIF(EB.Projekte.RahmenBereich,"=Projekt 4")-COUNTIF(EB.Projekte.RahmenBereich,"=Projekt 5")-COUNTIF(EB.Projekte.RahmenBereich,"=Projekt 6")-COUNTIF(EB.Projekte.RahmenBereich,"=Projekt 7")-COUNTIF(EB.Projekte.RahmenBereich,"=Projekt 8")-COUNTIF(EB.Projekte.RahmenBereich,"=Projekt 9")-COUNTIF(EB.Projekte.RahmenBereich,"=Project 1?")-COUNTIF(EB.Projekte.RahmenBereich,"=Project 1")-COUNTIF(EB.Projekte.RahmenBereich,"=Project 2")-COUNTIF(EB.Projekte.RahmenBereich,"=Project 3")-COUNTIF(EB.Projekte.RahmenBereich,"=Project 4")-COUNTIF(EB.Projekte.RahmenBereich,"=Project 5")-COUNTIF(EB.Projekte.RahmenBereich,"=Project 6")-COUNTIF(EB.Projekte.RahmenBereich,"=Project 7")-COUNTIF(EB.Projekte.RahmenBereich,"=Project 8")-COUNTIF(EB.Projekte.RahmenBereich,"=Project 9")</f>
        <v>0</v>
      </c>
      <c r="I29" s="168" t="str">
        <f>IF(H27="Projects",IF(EB.AnzProjekte=1,"Project","Projects"),IF(EB.AnzProjekte=1,"Projekt","Projekte"))</f>
        <v>Projekte</v>
      </c>
      <c r="J29" s="448" t="s">
        <v>216</v>
      </c>
      <c r="K29" s="449"/>
      <c r="L29" s="449"/>
      <c r="M29" s="450"/>
      <c r="N29" s="162"/>
      <c r="O29" s="22">
        <f>IF(C29="+",D29,(D29*(-1)))</f>
        <v>0</v>
      </c>
      <c r="P29" s="145"/>
      <c r="Q29" s="145"/>
      <c r="R29" s="145"/>
    </row>
    <row r="30" spans="1:18" ht="15" customHeight="1" x14ac:dyDescent="0.2">
      <c r="A30" s="165" t="s">
        <v>1</v>
      </c>
      <c r="B30" s="446"/>
      <c r="C30" s="25" t="s">
        <v>28</v>
      </c>
      <c r="D30" s="26"/>
      <c r="E30" s="166">
        <f t="shared" ref="E30:E31" si="9">IF(C30="+",D30,(D30*-1))</f>
        <v>0</v>
      </c>
      <c r="F30" s="106"/>
      <c r="G30" s="106"/>
      <c r="H30" s="169" t="s">
        <v>26</v>
      </c>
      <c r="I30" s="170" t="s">
        <v>25</v>
      </c>
      <c r="J30" s="170" t="s">
        <v>81</v>
      </c>
      <c r="K30" s="170" t="s">
        <v>82</v>
      </c>
      <c r="L30" s="170" t="s">
        <v>85</v>
      </c>
      <c r="M30" s="170" t="s">
        <v>86</v>
      </c>
      <c r="N30" s="118"/>
      <c r="O30" s="22">
        <f>IF(C30="+",D30,(D30*(-1)))</f>
        <v>0</v>
      </c>
      <c r="P30" s="136"/>
      <c r="Q30" s="136"/>
      <c r="R30" s="136"/>
    </row>
    <row r="31" spans="1:18" ht="15" customHeight="1" x14ac:dyDescent="0.2">
      <c r="A31" s="165" t="s">
        <v>194</v>
      </c>
      <c r="B31" s="447"/>
      <c r="C31" s="25" t="s">
        <v>28</v>
      </c>
      <c r="D31" s="26"/>
      <c r="E31" s="166">
        <f t="shared" si="9"/>
        <v>0</v>
      </c>
      <c r="F31" s="106"/>
      <c r="G31" s="106"/>
      <c r="H31" s="28" t="s">
        <v>147</v>
      </c>
      <c r="I31" s="28"/>
      <c r="J31" s="29"/>
      <c r="K31" s="29"/>
      <c r="L31" s="29"/>
      <c r="M31" s="21"/>
      <c r="N31" s="118"/>
      <c r="O31" s="22">
        <f>IF(C31="+",D31,(D31*(-1)))</f>
        <v>0</v>
      </c>
      <c r="P31" s="136"/>
      <c r="Q31" s="136"/>
      <c r="R31" s="136"/>
    </row>
    <row r="32" spans="1:18" ht="15" customHeight="1" thickBot="1" x14ac:dyDescent="0.25">
      <c r="A32" s="171" t="s">
        <v>33</v>
      </c>
      <c r="B32" s="87"/>
      <c r="C32" s="25" t="s">
        <v>28</v>
      </c>
      <c r="D32" s="26"/>
      <c r="E32" s="172">
        <f>IF(C32="+",(B32+D32),(B32-D32))</f>
        <v>0</v>
      </c>
      <c r="F32" s="106"/>
      <c r="G32" s="106"/>
      <c r="H32" s="28" t="s">
        <v>148</v>
      </c>
      <c r="I32" s="30"/>
      <c r="J32" s="29"/>
      <c r="K32" s="29"/>
      <c r="L32" s="29"/>
      <c r="M32" s="21"/>
      <c r="N32" s="118"/>
      <c r="O32" s="22">
        <f>IF(C32="+",D32,(D32*(-1)))</f>
        <v>0</v>
      </c>
      <c r="P32" s="136"/>
      <c r="Q32" s="136"/>
      <c r="R32" s="136"/>
    </row>
    <row r="33" spans="1:18" ht="15" customHeight="1" x14ac:dyDescent="0.2">
      <c r="A33" s="165" t="s">
        <v>2</v>
      </c>
      <c r="B33" s="173">
        <f ca="1">K25+EB.Frei_Stunden</f>
        <v>0</v>
      </c>
      <c r="C33" s="86" t="s">
        <v>28</v>
      </c>
      <c r="D33" s="88"/>
      <c r="E33" s="151">
        <f ca="1">IF(C33="+",(B33+D33),(B33-D33))</f>
        <v>0</v>
      </c>
      <c r="F33" s="106"/>
      <c r="G33" s="106"/>
      <c r="H33" s="28" t="s">
        <v>126</v>
      </c>
      <c r="I33" s="30"/>
      <c r="J33" s="29"/>
      <c r="K33" s="29"/>
      <c r="L33" s="29"/>
      <c r="M33" s="21"/>
      <c r="N33" s="118"/>
      <c r="O33" s="22">
        <f>IF(C33="+",D33,(D33*(-1)))</f>
        <v>0</v>
      </c>
      <c r="P33" s="136"/>
      <c r="Q33" s="136"/>
      <c r="R33" s="136"/>
    </row>
    <row r="34" spans="1:18" ht="15" customHeight="1" thickBot="1" x14ac:dyDescent="0.25">
      <c r="A34" s="165" t="s">
        <v>259</v>
      </c>
      <c r="B34" s="438">
        <v>0</v>
      </c>
      <c r="C34" s="442"/>
      <c r="D34" s="442"/>
      <c r="E34" s="151">
        <f>B34</f>
        <v>0</v>
      </c>
      <c r="F34" s="106"/>
      <c r="G34" s="106"/>
      <c r="H34" s="28" t="s">
        <v>127</v>
      </c>
      <c r="I34" s="30"/>
      <c r="J34" s="29"/>
      <c r="K34" s="29"/>
      <c r="L34" s="29"/>
      <c r="M34" s="21"/>
      <c r="N34" s="118"/>
      <c r="O34" s="135"/>
      <c r="P34" s="136"/>
      <c r="Q34" s="136"/>
      <c r="R34" s="136"/>
    </row>
    <row r="35" spans="1:18" ht="15" customHeight="1" x14ac:dyDescent="0.2">
      <c r="A35" s="165" t="s">
        <v>3</v>
      </c>
      <c r="B35" s="89">
        <f ca="1">L25</f>
        <v>5.25</v>
      </c>
      <c r="C35" s="443"/>
      <c r="D35" s="443"/>
      <c r="E35" s="174">
        <f ca="1">B35</f>
        <v>5.25</v>
      </c>
      <c r="F35" s="106"/>
      <c r="G35" s="106"/>
      <c r="H35" s="28" t="s">
        <v>128</v>
      </c>
      <c r="I35" s="30"/>
      <c r="J35" s="29"/>
      <c r="K35" s="29"/>
      <c r="L35" s="29"/>
      <c r="M35" s="21"/>
      <c r="N35" s="118"/>
      <c r="O35" s="135"/>
      <c r="P35" s="136"/>
      <c r="Q35" s="136"/>
      <c r="R35" s="136"/>
    </row>
    <row r="36" spans="1:18" ht="15" customHeight="1" x14ac:dyDescent="0.2">
      <c r="A36" s="165" t="s">
        <v>8</v>
      </c>
      <c r="B36" s="16">
        <f ca="1">I25</f>
        <v>88.349999999999966</v>
      </c>
      <c r="C36" s="444"/>
      <c r="D36" s="444"/>
      <c r="E36" s="151">
        <f ca="1">B36</f>
        <v>88.349999999999966</v>
      </c>
      <c r="F36" s="106"/>
      <c r="G36" s="106"/>
      <c r="H36" s="28" t="s">
        <v>129</v>
      </c>
      <c r="I36" s="30"/>
      <c r="J36" s="29"/>
      <c r="K36" s="29"/>
      <c r="L36" s="29"/>
      <c r="M36" s="21"/>
      <c r="N36" s="118"/>
      <c r="O36" s="125"/>
      <c r="P36" s="136"/>
      <c r="Q36" s="136"/>
      <c r="R36" s="136"/>
    </row>
    <row r="37" spans="1:18" ht="15" customHeight="1" x14ac:dyDescent="0.2">
      <c r="A37" s="175"/>
      <c r="B37" s="175"/>
      <c r="C37" s="175"/>
      <c r="D37" s="175"/>
      <c r="E37" s="175"/>
      <c r="F37" s="106"/>
      <c r="G37" s="106"/>
      <c r="H37" s="28" t="s">
        <v>130</v>
      </c>
      <c r="I37" s="30"/>
      <c r="J37" s="29"/>
      <c r="K37" s="29"/>
      <c r="L37" s="29"/>
      <c r="M37" s="21"/>
      <c r="N37" s="118"/>
      <c r="O37" s="135"/>
      <c r="P37" s="125"/>
      <c r="Q37" s="125"/>
      <c r="R37" s="125"/>
    </row>
    <row r="38" spans="1:18" ht="15.75" customHeight="1" x14ac:dyDescent="0.25">
      <c r="A38" s="157" t="s">
        <v>253</v>
      </c>
      <c r="B38" s="135"/>
      <c r="C38" s="175"/>
      <c r="D38" s="175"/>
      <c r="E38" s="175"/>
      <c r="F38" s="106"/>
      <c r="G38" s="106"/>
      <c r="H38" s="28" t="s">
        <v>131</v>
      </c>
      <c r="I38" s="30"/>
      <c r="J38" s="29"/>
      <c r="K38" s="29"/>
      <c r="L38" s="29"/>
      <c r="M38" s="21"/>
      <c r="N38" s="118"/>
      <c r="O38" s="135"/>
      <c r="P38" s="136"/>
      <c r="Q38" s="136"/>
      <c r="R38" s="136"/>
    </row>
    <row r="39" spans="1:18" ht="15" customHeight="1" x14ac:dyDescent="0.2">
      <c r="A39" s="165" t="s">
        <v>102</v>
      </c>
      <c r="B39" s="176">
        <f>INDEX(EB.DurchSollTAZStd.Bereich,IF(EB.UJEintritt&lt;&gt;"",MONTH(EB.UJEintritt),1))</f>
        <v>0.35</v>
      </c>
      <c r="C39" s="175"/>
      <c r="D39" s="175"/>
      <c r="E39" s="175"/>
      <c r="F39" s="106"/>
      <c r="G39" s="106"/>
      <c r="H39" s="28" t="s">
        <v>132</v>
      </c>
      <c r="I39" s="30"/>
      <c r="J39" s="29"/>
      <c r="K39" s="29"/>
      <c r="L39" s="29"/>
      <c r="M39" s="21"/>
      <c r="N39" s="118"/>
      <c r="O39" s="135"/>
      <c r="P39" s="136"/>
      <c r="Q39" s="136"/>
      <c r="R39" s="136"/>
    </row>
    <row r="40" spans="1:18" ht="15" customHeight="1" x14ac:dyDescent="0.2">
      <c r="A40" s="165" t="s">
        <v>103</v>
      </c>
      <c r="B40" s="176">
        <f>INDEX(EB.DurchSollTAZStd.Bereich,IF(EB.UJEintritt&lt;&gt;"",MONTH(EB.UJEintritt),1))</f>
        <v>0.35</v>
      </c>
      <c r="C40" s="175"/>
      <c r="D40" s="175"/>
      <c r="E40" s="175"/>
      <c r="F40" s="106"/>
      <c r="G40" s="106"/>
      <c r="H40" s="28" t="s">
        <v>133</v>
      </c>
      <c r="I40" s="30"/>
      <c r="J40" s="29"/>
      <c r="K40" s="29"/>
      <c r="L40" s="29"/>
      <c r="M40" s="21"/>
      <c r="N40" s="118"/>
      <c r="O40" s="135"/>
      <c r="P40" s="136"/>
      <c r="Q40" s="136"/>
      <c r="R40" s="136"/>
    </row>
    <row r="41" spans="1:18" ht="15" customHeight="1" x14ac:dyDescent="0.2">
      <c r="A41" s="165" t="s">
        <v>104</v>
      </c>
      <c r="B41" s="176">
        <f>INDEX(EB.DurchSollTAZStd.Bereich,IF(EB.UJEintritt&lt;&gt;"",MONTH(EB.UJEintritt),1))</f>
        <v>0.35</v>
      </c>
      <c r="C41" s="175"/>
      <c r="D41" s="175"/>
      <c r="E41" s="175"/>
      <c r="F41" s="106"/>
      <c r="G41" s="106"/>
      <c r="H41" s="28" t="s">
        <v>134</v>
      </c>
      <c r="I41" s="30"/>
      <c r="J41" s="29"/>
      <c r="K41" s="29"/>
      <c r="L41" s="29"/>
      <c r="M41" s="21"/>
      <c r="N41" s="118"/>
      <c r="O41" s="135"/>
      <c r="P41" s="136"/>
      <c r="Q41" s="136"/>
      <c r="R41" s="136"/>
    </row>
    <row r="42" spans="1:18" ht="15" customHeight="1" x14ac:dyDescent="0.2">
      <c r="A42" s="165" t="s">
        <v>105</v>
      </c>
      <c r="B42" s="176">
        <f>INDEX(EB.DurchSollTAZStd.Bereich,IF(EB.UJEintritt&lt;&gt;"",MONTH(EB.UJEintritt),1))</f>
        <v>0.35</v>
      </c>
      <c r="C42" s="175"/>
      <c r="D42" s="175"/>
      <c r="E42" s="175"/>
      <c r="F42" s="106"/>
      <c r="G42" s="106"/>
      <c r="H42" s="28" t="s">
        <v>135</v>
      </c>
      <c r="I42" s="30"/>
      <c r="J42" s="29"/>
      <c r="K42" s="29"/>
      <c r="L42" s="29"/>
      <c r="M42" s="21"/>
      <c r="N42" s="118"/>
      <c r="O42" s="135"/>
      <c r="P42" s="136"/>
      <c r="Q42" s="136"/>
      <c r="R42" s="136"/>
    </row>
    <row r="43" spans="1:18" ht="15" customHeight="1" x14ac:dyDescent="0.2">
      <c r="A43" s="165" t="s">
        <v>106</v>
      </c>
      <c r="B43" s="176">
        <f>INDEX(EB.DurchSollTAZStd.Bereich,IF(EB.UJEintritt&lt;&gt;"",MONTH(EB.UJEintritt),1))</f>
        <v>0.35</v>
      </c>
      <c r="C43" s="175"/>
      <c r="D43" s="175"/>
      <c r="E43" s="175"/>
      <c r="F43" s="106"/>
      <c r="G43" s="106"/>
      <c r="H43" s="28" t="s">
        <v>136</v>
      </c>
      <c r="I43" s="30"/>
      <c r="J43" s="29"/>
      <c r="K43" s="29"/>
      <c r="L43" s="29"/>
      <c r="M43" s="21"/>
      <c r="N43" s="118"/>
      <c r="O43" s="135"/>
      <c r="P43" s="136"/>
      <c r="Q43" s="136"/>
      <c r="R43" s="136"/>
    </row>
    <row r="44" spans="1:18" ht="15" customHeight="1" x14ac:dyDescent="0.2">
      <c r="A44" s="165" t="s">
        <v>107</v>
      </c>
      <c r="B44" s="176"/>
      <c r="C44" s="175"/>
      <c r="D44" s="175"/>
      <c r="E44" s="175"/>
      <c r="F44" s="106"/>
      <c r="G44" s="106"/>
      <c r="H44" s="28" t="s">
        <v>137</v>
      </c>
      <c r="I44" s="30"/>
      <c r="J44" s="29"/>
      <c r="K44" s="29"/>
      <c r="L44" s="29"/>
      <c r="M44" s="21"/>
      <c r="N44" s="118"/>
      <c r="O44" s="135"/>
      <c r="P44" s="136"/>
      <c r="Q44" s="136"/>
      <c r="R44" s="136"/>
    </row>
    <row r="45" spans="1:18" ht="15" customHeight="1" x14ac:dyDescent="0.2">
      <c r="A45" s="165" t="s">
        <v>108</v>
      </c>
      <c r="B45" s="176"/>
      <c r="C45" s="175"/>
      <c r="D45" s="175"/>
      <c r="E45" s="175"/>
      <c r="F45" s="106"/>
      <c r="G45" s="106"/>
      <c r="H45" s="28" t="s">
        <v>138</v>
      </c>
      <c r="I45" s="30"/>
      <c r="J45" s="29"/>
      <c r="K45" s="29"/>
      <c r="L45" s="29"/>
      <c r="M45" s="21"/>
      <c r="N45" s="118"/>
      <c r="O45" s="125"/>
      <c r="P45" s="136"/>
      <c r="Q45" s="136"/>
      <c r="R45" s="136"/>
    </row>
    <row r="46" spans="1:18" ht="11.25" customHeight="1" x14ac:dyDescent="0.2">
      <c r="A46" s="175"/>
      <c r="B46" s="175"/>
      <c r="C46" s="175"/>
      <c r="D46" s="175"/>
      <c r="E46" s="175"/>
      <c r="F46" s="106"/>
      <c r="G46" s="106"/>
      <c r="H46" s="106"/>
      <c r="I46" s="106"/>
      <c r="J46" s="106"/>
      <c r="K46" s="106"/>
      <c r="L46" s="106"/>
      <c r="M46" s="106"/>
      <c r="N46" s="106"/>
      <c r="O46" s="125"/>
      <c r="P46" s="125"/>
      <c r="Q46" s="125"/>
      <c r="R46" s="125"/>
    </row>
    <row r="47" spans="1:18" ht="11.25" customHeight="1" x14ac:dyDescent="0.2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25"/>
      <c r="P47" s="125"/>
      <c r="Q47" s="125"/>
      <c r="R47" s="125"/>
    </row>
    <row r="48" spans="1:18" x14ac:dyDescent="0.2">
      <c r="A48" s="60" t="s">
        <v>93</v>
      </c>
      <c r="B48" s="32" t="s">
        <v>94</v>
      </c>
      <c r="D48" s="177"/>
    </row>
    <row r="49" spans="1:11" x14ac:dyDescent="0.2">
      <c r="A49" s="60"/>
      <c r="B49" s="32" t="s">
        <v>251</v>
      </c>
      <c r="D49" s="177"/>
      <c r="H49" s="177"/>
      <c r="I49" s="178"/>
      <c r="J49" s="179"/>
      <c r="K49" s="179"/>
    </row>
    <row r="50" spans="1:11" x14ac:dyDescent="0.2">
      <c r="A50" s="60"/>
      <c r="B50" s="32" t="s">
        <v>252</v>
      </c>
      <c r="D50" s="177"/>
      <c r="H50" s="177"/>
      <c r="J50" s="179"/>
      <c r="K50" s="179"/>
    </row>
    <row r="51" spans="1:11" x14ac:dyDescent="0.2">
      <c r="A51" s="60"/>
      <c r="B51" s="34" t="s">
        <v>95</v>
      </c>
      <c r="D51" s="177"/>
      <c r="J51" s="179"/>
      <c r="K51" s="179"/>
    </row>
    <row r="52" spans="1:11" x14ac:dyDescent="0.2">
      <c r="A52" s="61"/>
      <c r="J52" s="179"/>
      <c r="K52" s="179"/>
    </row>
    <row r="53" spans="1:11" x14ac:dyDescent="0.2">
      <c r="A53" s="60" t="s">
        <v>96</v>
      </c>
      <c r="B53" s="35" t="s">
        <v>260</v>
      </c>
      <c r="J53" s="179"/>
      <c r="K53" s="179"/>
    </row>
    <row r="54" spans="1:11" x14ac:dyDescent="0.2">
      <c r="A54" s="177"/>
      <c r="J54" s="179"/>
      <c r="K54" s="179"/>
    </row>
    <row r="55" spans="1:11" x14ac:dyDescent="0.2">
      <c r="A55" s="177"/>
      <c r="J55" s="179"/>
      <c r="K55" s="179"/>
    </row>
    <row r="56" spans="1:11" x14ac:dyDescent="0.2">
      <c r="J56" s="179"/>
      <c r="K56" s="179"/>
    </row>
    <row r="57" spans="1:11" x14ac:dyDescent="0.2">
      <c r="J57" s="179"/>
      <c r="K57" s="179"/>
    </row>
    <row r="58" spans="1:11" x14ac:dyDescent="0.2">
      <c r="J58" s="179"/>
      <c r="K58" s="179"/>
    </row>
  </sheetData>
  <sheetProtection sheet="1" objects="1" scenarios="1"/>
  <mergeCells count="24">
    <mergeCell ref="O2:R2"/>
    <mergeCell ref="O3:Q3"/>
    <mergeCell ref="O4:O6"/>
    <mergeCell ref="J7:K7"/>
    <mergeCell ref="I2:L2"/>
    <mergeCell ref="I3:L3"/>
    <mergeCell ref="I4:L4"/>
    <mergeCell ref="I5:L5"/>
    <mergeCell ref="B2:F2"/>
    <mergeCell ref="B1:E1"/>
    <mergeCell ref="C12:D12"/>
    <mergeCell ref="C4:E4"/>
    <mergeCell ref="C6:E6"/>
    <mergeCell ref="C34:D36"/>
    <mergeCell ref="B29:B31"/>
    <mergeCell ref="J29:M29"/>
    <mergeCell ref="H28:M28"/>
    <mergeCell ref="B3:F3"/>
    <mergeCell ref="H27:K27"/>
    <mergeCell ref="C28:D28"/>
    <mergeCell ref="J6:K6"/>
    <mergeCell ref="C5:D5"/>
    <mergeCell ref="C7:D7"/>
    <mergeCell ref="E7:F7"/>
  </mergeCells>
  <phoneticPr fontId="5" type="noConversion"/>
  <conditionalFormatting sqref="H31:H45">
    <cfRule type="expression" dxfId="344" priority="9">
      <formula>AND(OR($H31="Projekt 1",$H31="Projekt 2",$H31="Projekt 3",$H31="Projekt 4",$H31="Projekt 5",$H31="Projekt 6",$H31="Projekt 7",$H31="Projekt 8",$H31="Projekt 9",$H31="Projekt 10",$H31="Projekt 11",$H31="Projekt 12",$H31="Projekt 13",$H31="Projekt 14",$H31="Projekt 15"),ROW($H31)-ROW($H$31)+1&lt;=EB.AnzProjekte)</formula>
    </cfRule>
  </conditionalFormatting>
  <conditionalFormatting sqref="D29">
    <cfRule type="expression" dxfId="343" priority="5">
      <formula>AND($I$7=1/24*50,$D$29&lt;&gt;"")</formula>
    </cfRule>
  </conditionalFormatting>
  <conditionalFormatting sqref="D31">
    <cfRule type="expression" dxfId="342" priority="4">
      <formula>AND(T.50_Vetsuisse=FALSE,$D$31&lt;&gt;"")</formula>
    </cfRule>
  </conditionalFormatting>
  <conditionalFormatting sqref="F5">
    <cfRule type="expression" dxfId="341" priority="6">
      <formula>$E$5=INDEX(T.JaNein.Bereich,1,1)</formula>
    </cfRule>
    <cfRule type="expression" dxfId="340" priority="8">
      <formula>EB.LKgr16ab&lt;EB.UJEintritt</formula>
    </cfRule>
  </conditionalFormatting>
  <conditionalFormatting sqref="L6">
    <cfRule type="expression" dxfId="339" priority="16">
      <formula>AND(OR(T.50_Vetsuisse,AND(EB.LKgr16=INDEX(T.JaNein.Bereich,1,1),EB.LKgr16ab=MAX(DATE(EB.Jahr,1,1),EB.UJEintritt))),$L$6=INDEX(T.JaNein.Bereich,1,1))</formula>
    </cfRule>
  </conditionalFormatting>
  <conditionalFormatting sqref="E5">
    <cfRule type="expression" dxfId="338" priority="1">
      <formula>$E$5="Ja"</formula>
    </cfRule>
    <cfRule type="expression" dxfId="337" priority="2">
      <formula>$E$5="Yes"</formula>
    </cfRule>
  </conditionalFormatting>
  <dataValidations xWindow="400" yWindow="583" count="16">
    <dataValidation type="date" allowBlank="1" showInputMessage="1" showErrorMessage="1" errorTitle="Vollständiges Geburtsdatum" error="Bitte geben Sie Ihr vollständiges Geburtsdatum an (z.B. 20.05.1975)._x000a__x000a_Das Geburtsjahr wird automatisch in der Zelle &quot;Geburtsjahr&quot;  eingetragen." promptTitle="Vollständiges Geburtsdatum" prompt="Geben Sie Ihr Geburtsdatum an (z.B. 20.05.1975)._x000a__x000a_Das Geburtsjahr wird automatisch in der Zelle &quot;Geburtsjahr&quot; eingetragen._x000a__x000a_LibreOffice englische Version: Datum im Format MM/DD/YYYY eingeben._x000a__x000a_Mac englische Version: Datum im Format DD/MM/YYYY eingeben." sqref="B4" xr:uid="{00000000-0002-0000-0000-000000000000}">
      <formula1>2192</formula1>
      <formula2>2957003</formula2>
    </dataValidation>
    <dataValidation allowBlank="1" showInputMessage="1" showErrorMessage="1" errorTitle="Frei-Tage" error="Bitte wählen Sie einen Wert aus der Liste." sqref="B34" xr:uid="{00000000-0002-0000-0000-000001000000}"/>
    <dataValidation type="list" allowBlank="1" showInputMessage="1" showErrorMessage="1" errorTitle="Projektart" error="Bitte wählen Sie einen Wert aus der Liste." sqref="I31:I45" xr:uid="{00000000-0002-0000-0000-000002000000}">
      <formula1>T.Projektart.Bereich</formula1>
    </dataValidation>
    <dataValidation type="list" allowBlank="1" showInputMessage="1" showErrorMessage="1" errorTitle="Wochenarbeitszeit" error="Bitte wählen Sie einen Wert aus der Liste." sqref="I7" xr:uid="{00000000-0002-0000-0000-000003000000}">
      <formula1>T.Wochenarbeitszeit.Bereich</formula1>
    </dataValidation>
    <dataValidation type="date" allowBlank="1" showInputMessage="1" showErrorMessage="1" errorTitle="Unterjähriges Austrittsdatum" error="Bitte geben Sie ein gültiges Austrittsdatum des Eingabejahres ein." promptTitle="Unterjähriger Austritt" prompt="Falls Sie in diesem Jahr austreten werden, bitte hier Ihr Austrittsdatum eingeben (z. B. 31.03.2016)._x000a__x000a_LibreOffice englische Version: Datum im Format MM/DD/YYYY eingeben._x000a__x000a_Mac englische Version: Datum im Format DD/MM/YYYY eingeben._x000a__x000a_" sqref="F6" xr:uid="{00000000-0002-0000-0000-000004000000}">
      <formula1>DATE(EB.Jahr,1,1)</formula1>
      <formula2>DATE(EB.Jahr,12,31)</formula2>
    </dataValidation>
    <dataValidation type="date" allowBlank="1" showInputMessage="1" showErrorMessage="1" errorTitle="Unterjähriger Eintritt" error="Bitte geben Sie ein gültiges Eintrittsdatum des Eingabejahres ein." promptTitle="Unterjähriger Eintritt" prompt="Falls Sie in diesem Jahr eingetreten sind, bitte hier Ihr Eintrittsdatum eingeben (z. B. 15.03.2016)._x000a__x000a__x000a_LibreOffice englische Version: Datum im Format MM/DD/YYYY eingeben._x000a__x000a_Mac englische Version: Datum im Format DD/MM/YYYY eingeben." sqref="B6" xr:uid="{00000000-0002-0000-0000-000005000000}">
      <formula1>DATE(EB.Jahr,1,1)</formula1>
      <formula2>DATE(EB.Jahr,12,31)</formula2>
    </dataValidation>
    <dataValidation type="custom" errorStyle="information" showInputMessage="1" showErrorMessage="1" errorTitle="Personalnummer" error="Nur Zahlen akzeptiert._x000a_Personalnr. ist 8-stellig._x000a__x000a_Bsp.: 01234567, 12345678, 00012345" promptTitle="Personalnummer" prompt="Nur Zahlen akzeptiert._x000a_Die Personalnummer ist 8-stellig (z.B. 01234567, 12345678, 00012345)" sqref="B5" xr:uid="{00000000-0002-0000-0000-000006000000}">
      <formula1>AND(ISNUMBER(VALUE(B5)),LEN(B5)=8)</formula1>
    </dataValidation>
    <dataValidation type="list" allowBlank="1" showInputMessage="1" showErrorMessage="1" errorTitle="Fakultät" error="Bitte wählen Sie einen Wert aus der Liste." sqref="I4:L4" xr:uid="{00000000-0002-0000-0000-000007000000}">
      <formula1>T.Fakultaet.Bereich</formula1>
    </dataValidation>
    <dataValidation type="list" allowBlank="1" showInputMessage="1" showErrorMessage="1" errorTitle="Personalkategorie" error="Bitte wählen Sie einen Wert aus der Liste." sqref="I5:L5" xr:uid="{00000000-0002-0000-0000-000008000000}">
      <formula1>T.Personalkategorie.Bereich</formula1>
    </dataValidation>
    <dataValidation type="list" allowBlank="1" showInputMessage="1" showErrorMessage="1" errorTitle="Lernende/r" error="Bitte wählen Sie einen Wert aus der Liste." sqref="I6" xr:uid="{00000000-0002-0000-0000-000009000000}">
      <formula1>T.JaNein.Bereich</formula1>
    </dataValidation>
    <dataValidation type="decimal" allowBlank="1" showInputMessage="1" showErrorMessage="1" errorTitle="BG" error="Geben Sie bitte eine Zahl zwischen 0 und 100 ein." sqref="H13:H24 L7" xr:uid="{00000000-0002-0000-0000-00000A000000}">
      <formula1>0</formula1>
      <formula2>100</formula2>
    </dataValidation>
    <dataValidation type="decimal" allowBlank="1" showInputMessage="1" showErrorMessage="1" errorTitle="%-Anstellung gem. Vertrag" error="Geben Sie bitte eine Zahl zwischen 0 und 100 ein." sqref="M31:M45" xr:uid="{00000000-0002-0000-0000-00000B000000}">
      <formula1>0</formula1>
      <formula2>100</formula2>
    </dataValidation>
    <dataValidation type="list" allowBlank="1" showInputMessage="1" showErrorMessage="1" errorTitle="Überzeitzuschlagsberechtigt" error="Bitte wählen Sie einen Wert aus der Liste." promptTitle="Überzeitzuschlagsberechtigt" prompt="Der Wert &quot;Ja&quot; ist nicht zulässig für_x000a__x000a_- Vetsuisse Mitarbeitende mit Wochenarbeitszeit 50 Std._x000a_- Mitarbeitende mit Lohnklasse &gt; 16 bereits am 1.1. des Jahres. Ändert die Lohnklasse unter Jahr auf &gt; 16, kann der Wert auf &quot;Ja&quot; belassen werden." sqref="L6" xr:uid="{00000000-0002-0000-0000-00000D000000}">
      <formula1>T.JaNein.Bereich</formula1>
    </dataValidation>
    <dataValidation type="date" allowBlank="1" showInputMessage="1" showErrorMessage="1" errorTitle="Lohnklasse &gt; 16 ab" error="Bitte geben Sie ein gültiges Datum ein, das im Jahr der Arbeitszeittabelle liegt." promptTitle="Lohnklasse &gt; 16 ab" prompt="Falls Ihre Lohnklasse nach dem 1. Januar dieses Jahres auf &gt; 16 ändert, bitte das ab Datum eingeben (z. B. 01.02.2018)._x000a__x000a_LibreOffice englische Version: Datum im Format MM/DD/YYYY eingeben._x000a__x000a_Mac englische Version: Datum im Format DD/MM/YYYY eingeben._x000a__x000a_" sqref="F5" xr:uid="{00000000-0002-0000-0000-00000E000000}">
      <formula1>DATE(EB.Jahr,1,1)</formula1>
      <formula2>DATE(EB.Jahr,12,31)</formula2>
    </dataValidation>
    <dataValidation type="list" allowBlank="1" showInputMessage="1" showErrorMessage="1" errorTitle="Lohnklasse &gt; 16" error="Bitte wählen Sie einen Wert aus der Liste." sqref="E5" xr:uid="{00000000-0002-0000-0000-00000F000000}">
      <formula1>T.JaNein.Bereich</formula1>
    </dataValidation>
    <dataValidation type="list" allowBlank="1" showErrorMessage="1" errorTitle="Weitere Angaben" error="Bitte wählen Sie einen Wert aus der Liste." sqref="E7:F7" xr:uid="{00000000-0002-0000-0000-000010000000}">
      <formula1>T.WeitereAngaben.Bereich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64" orientation="landscape" blackAndWhite="1" horizontalDpi="4294967292" verticalDpi="4294967292" r:id="rId1"/>
  <headerFooter alignWithMargins="0">
    <oddFooter>&amp;L&amp;"Arial,Standard"&amp;11&amp;A&amp;C&amp;"Arial,Standard"&amp;11&amp;D&amp;R&amp;"Arial,Standard"&amp;11&amp;P /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8F9F-D6D6-4016-A0E9-EDA350F85246}">
  <sheetPr>
    <pageSetUpPr autoPageBreaks="0" fitToPage="1"/>
  </sheetPr>
  <dimension ref="A1:AP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1" width="5.75" style="50" customWidth="1"/>
    <col min="32" max="32" width="24.5" style="52" customWidth="1"/>
    <col min="33" max="33" width="2.125" style="53" customWidth="1"/>
    <col min="34" max="35" width="8.125" style="50" customWidth="1"/>
    <col min="36" max="36" width="15.875" style="50" hidden="1" customWidth="1" outlineLevel="1"/>
    <col min="37" max="38" width="14.25" style="50" hidden="1" customWidth="1" outlineLevel="1"/>
    <col min="39" max="39" width="9.375" style="37" customWidth="1" collapsed="1"/>
    <col min="40" max="41" width="8.125" style="50" customWidth="1"/>
    <col min="42" max="42" width="3.75" style="50" customWidth="1"/>
    <col min="43" max="16384" width="10.75" style="50"/>
  </cols>
  <sheetData>
    <row r="1" spans="1:42" s="54" customFormat="1" ht="22.5" customHeight="1" x14ac:dyDescent="0.2">
      <c r="A1" s="180" t="str">
        <f>INDEX(EB.Monate.Bereich,MONTH(Monat.Tag1)) &amp; " " &amp; EB.Jahr</f>
        <v>September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83"/>
      <c r="AG1" s="184"/>
      <c r="AH1" s="100"/>
      <c r="AI1" s="100"/>
      <c r="AJ1" s="100"/>
      <c r="AK1" s="100"/>
      <c r="AL1" s="100"/>
      <c r="AM1" s="439"/>
      <c r="AN1" s="497" t="str">
        <f>EB.Version</f>
        <v>Version 12.21</v>
      </c>
      <c r="AO1" s="497"/>
      <c r="AP1" s="102" t="str">
        <f>EB.Sprache</f>
        <v>DE</v>
      </c>
    </row>
    <row r="2" spans="1:42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05"/>
      <c r="AG2" s="187"/>
      <c r="AH2" s="118"/>
      <c r="AI2" s="118"/>
      <c r="AJ2" s="118"/>
      <c r="AK2" s="118"/>
      <c r="AL2" s="118"/>
      <c r="AM2" s="188"/>
      <c r="AN2" s="118"/>
      <c r="AO2" s="118"/>
      <c r="AP2" s="118"/>
    </row>
    <row r="3" spans="1:42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05"/>
      <c r="AG3" s="187"/>
      <c r="AH3" s="118"/>
      <c r="AI3" s="118"/>
      <c r="AJ3" s="118"/>
      <c r="AK3" s="118"/>
      <c r="AL3" s="118"/>
      <c r="AM3" s="188"/>
      <c r="AN3" s="118"/>
      <c r="AO3" s="118"/>
      <c r="AP3" s="118"/>
    </row>
    <row r="4" spans="1:42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05"/>
      <c r="AG4" s="187"/>
      <c r="AH4" s="118"/>
      <c r="AI4" s="118"/>
      <c r="AJ4" s="118"/>
      <c r="AK4" s="118"/>
      <c r="AL4" s="118"/>
      <c r="AM4" s="188"/>
      <c r="AN4" s="118"/>
      <c r="AO4" s="118"/>
      <c r="AP4" s="118"/>
    </row>
    <row r="5" spans="1:42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September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05"/>
      <c r="AG5" s="187"/>
      <c r="AH5" s="118"/>
      <c r="AI5" s="118"/>
      <c r="AJ5" s="118"/>
      <c r="AK5" s="118"/>
      <c r="AL5" s="118"/>
      <c r="AM5" s="188"/>
      <c r="AN5" s="118"/>
      <c r="AO5" s="118"/>
      <c r="AP5" s="118"/>
    </row>
    <row r="6" spans="1:42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05"/>
      <c r="AG6" s="187"/>
      <c r="AH6" s="118"/>
      <c r="AI6" s="118"/>
      <c r="AJ6" s="118"/>
      <c r="AK6" s="118"/>
      <c r="AL6" s="118"/>
      <c r="AM6" s="188"/>
      <c r="AN6" s="118"/>
      <c r="AO6" s="118"/>
      <c r="AP6" s="118"/>
    </row>
    <row r="7" spans="1:42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05"/>
      <c r="AG7" s="187"/>
      <c r="AH7" s="118"/>
      <c r="AI7" s="118"/>
      <c r="AJ7" s="118"/>
      <c r="AK7" s="118"/>
      <c r="AL7" s="118"/>
      <c r="AM7" s="188"/>
      <c r="AN7" s="118"/>
      <c r="AO7" s="118"/>
      <c r="AP7" s="118"/>
    </row>
    <row r="8" spans="1:42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05"/>
      <c r="AG8" s="187"/>
      <c r="AH8" s="118"/>
      <c r="AI8" s="118"/>
      <c r="AJ8" s="118"/>
      <c r="AK8" s="118"/>
      <c r="AL8" s="118"/>
      <c r="AM8" s="188"/>
      <c r="AN8" s="118"/>
      <c r="AO8" s="118"/>
      <c r="AP8" s="118"/>
    </row>
    <row r="9" spans="1:42" s="38" customFormat="1" ht="15" customHeight="1" x14ac:dyDescent="0.2">
      <c r="A9" s="134"/>
      <c r="B9" s="194" t="str">
        <f t="shared" ref="B9:AE9" si="0">INDEX(Monat.Wochentage.Bereich,1,WEEKDAY(B10,2))</f>
        <v>Do</v>
      </c>
      <c r="C9" s="194" t="str">
        <f t="shared" si="0"/>
        <v>Fr</v>
      </c>
      <c r="D9" s="194" t="str">
        <f t="shared" si="0"/>
        <v>Sa</v>
      </c>
      <c r="E9" s="194" t="str">
        <f t="shared" si="0"/>
        <v>So</v>
      </c>
      <c r="F9" s="194" t="str">
        <f t="shared" si="0"/>
        <v>Mo</v>
      </c>
      <c r="G9" s="194" t="str">
        <f t="shared" si="0"/>
        <v>Di</v>
      </c>
      <c r="H9" s="194" t="str">
        <f t="shared" si="0"/>
        <v>Mi</v>
      </c>
      <c r="I9" s="194" t="str">
        <f t="shared" si="0"/>
        <v>Do</v>
      </c>
      <c r="J9" s="194" t="str">
        <f t="shared" si="0"/>
        <v>Fr</v>
      </c>
      <c r="K9" s="194" t="str">
        <f t="shared" si="0"/>
        <v>Sa</v>
      </c>
      <c r="L9" s="194" t="str">
        <f t="shared" si="0"/>
        <v>So</v>
      </c>
      <c r="M9" s="194" t="str">
        <f t="shared" si="0"/>
        <v>Mo</v>
      </c>
      <c r="N9" s="194" t="str">
        <f t="shared" si="0"/>
        <v>Di</v>
      </c>
      <c r="O9" s="194" t="str">
        <f t="shared" si="0"/>
        <v>Mi</v>
      </c>
      <c r="P9" s="194" t="str">
        <f t="shared" si="0"/>
        <v>Do</v>
      </c>
      <c r="Q9" s="194" t="str">
        <f t="shared" si="0"/>
        <v>Fr</v>
      </c>
      <c r="R9" s="194" t="str">
        <f t="shared" si="0"/>
        <v>Sa</v>
      </c>
      <c r="S9" s="194" t="str">
        <f t="shared" si="0"/>
        <v>So</v>
      </c>
      <c r="T9" s="194" t="str">
        <f t="shared" si="0"/>
        <v>Mo</v>
      </c>
      <c r="U9" s="194" t="str">
        <f t="shared" si="0"/>
        <v>Di</v>
      </c>
      <c r="V9" s="194" t="str">
        <f t="shared" si="0"/>
        <v>Mi</v>
      </c>
      <c r="W9" s="194" t="str">
        <f t="shared" si="0"/>
        <v>Do</v>
      </c>
      <c r="X9" s="194" t="str">
        <f t="shared" si="0"/>
        <v>Fr</v>
      </c>
      <c r="Y9" s="194" t="str">
        <f t="shared" si="0"/>
        <v>Sa</v>
      </c>
      <c r="Z9" s="194" t="str">
        <f t="shared" si="0"/>
        <v>So</v>
      </c>
      <c r="AA9" s="194" t="str">
        <f t="shared" si="0"/>
        <v>Mo</v>
      </c>
      <c r="AB9" s="194" t="str">
        <f t="shared" si="0"/>
        <v>Di</v>
      </c>
      <c r="AC9" s="194" t="str">
        <f t="shared" si="0"/>
        <v>Mi</v>
      </c>
      <c r="AD9" s="194" t="str">
        <f t="shared" si="0"/>
        <v>Do</v>
      </c>
      <c r="AE9" s="194" t="str">
        <f t="shared" si="0"/>
        <v>Fr</v>
      </c>
      <c r="AF9" s="105"/>
      <c r="AG9" s="187"/>
      <c r="AH9" s="118"/>
      <c r="AI9" s="118"/>
      <c r="AJ9" s="118"/>
      <c r="AK9" s="118"/>
      <c r="AL9" s="118"/>
      <c r="AM9" s="188"/>
      <c r="AN9" s="118"/>
      <c r="AO9" s="118"/>
      <c r="AP9" s="118"/>
    </row>
    <row r="10" spans="1:42" s="59" customFormat="1" ht="25.5" x14ac:dyDescent="0.2">
      <c r="A10" s="195" t="s">
        <v>15</v>
      </c>
      <c r="B10" s="196">
        <v>43343</v>
      </c>
      <c r="C10" s="196">
        <f>B10+1</f>
        <v>43344</v>
      </c>
      <c r="D10" s="196">
        <f t="shared" ref="D10:AE10" si="1">C10+1</f>
        <v>43345</v>
      </c>
      <c r="E10" s="196">
        <f t="shared" si="1"/>
        <v>43346</v>
      </c>
      <c r="F10" s="196">
        <f t="shared" si="1"/>
        <v>43347</v>
      </c>
      <c r="G10" s="196">
        <f t="shared" si="1"/>
        <v>43348</v>
      </c>
      <c r="H10" s="196">
        <f t="shared" si="1"/>
        <v>43349</v>
      </c>
      <c r="I10" s="196">
        <f t="shared" si="1"/>
        <v>43350</v>
      </c>
      <c r="J10" s="196">
        <f t="shared" si="1"/>
        <v>43351</v>
      </c>
      <c r="K10" s="196">
        <f t="shared" si="1"/>
        <v>43352</v>
      </c>
      <c r="L10" s="196">
        <f t="shared" si="1"/>
        <v>43353</v>
      </c>
      <c r="M10" s="196">
        <f t="shared" si="1"/>
        <v>43354</v>
      </c>
      <c r="N10" s="196">
        <f t="shared" si="1"/>
        <v>43355</v>
      </c>
      <c r="O10" s="196">
        <f t="shared" si="1"/>
        <v>43356</v>
      </c>
      <c r="P10" s="196">
        <f t="shared" si="1"/>
        <v>43357</v>
      </c>
      <c r="Q10" s="196">
        <f t="shared" si="1"/>
        <v>43358</v>
      </c>
      <c r="R10" s="196">
        <f t="shared" si="1"/>
        <v>43359</v>
      </c>
      <c r="S10" s="196">
        <f t="shared" si="1"/>
        <v>43360</v>
      </c>
      <c r="T10" s="196">
        <f t="shared" si="1"/>
        <v>43361</v>
      </c>
      <c r="U10" s="196">
        <f t="shared" si="1"/>
        <v>43362</v>
      </c>
      <c r="V10" s="196">
        <f t="shared" si="1"/>
        <v>43363</v>
      </c>
      <c r="W10" s="196">
        <f t="shared" si="1"/>
        <v>43364</v>
      </c>
      <c r="X10" s="196">
        <f t="shared" si="1"/>
        <v>43365</v>
      </c>
      <c r="Y10" s="196">
        <f t="shared" si="1"/>
        <v>43366</v>
      </c>
      <c r="Z10" s="196">
        <f t="shared" si="1"/>
        <v>43367</v>
      </c>
      <c r="AA10" s="196">
        <f t="shared" si="1"/>
        <v>43368</v>
      </c>
      <c r="AB10" s="196">
        <f t="shared" si="1"/>
        <v>43369</v>
      </c>
      <c r="AC10" s="196">
        <f t="shared" si="1"/>
        <v>43370</v>
      </c>
      <c r="AD10" s="196">
        <f t="shared" si="1"/>
        <v>43371</v>
      </c>
      <c r="AE10" s="196">
        <f t="shared" si="1"/>
        <v>43372</v>
      </c>
      <c r="AF10" s="197" t="str">
        <f>A10</f>
        <v>Tag</v>
      </c>
      <c r="AG10" s="485" t="str">
        <f>"Total " &amp; INDEX(EB.Monate.Bereich,MONTH(Monat.Tag1))</f>
        <v>Total September</v>
      </c>
      <c r="AH10" s="486"/>
      <c r="AI10" s="440" t="s">
        <v>232</v>
      </c>
      <c r="AJ10" s="198" t="s">
        <v>141</v>
      </c>
      <c r="AK10" s="198" t="s">
        <v>32</v>
      </c>
      <c r="AL10" s="198" t="s">
        <v>224</v>
      </c>
      <c r="AM10" s="199" t="s">
        <v>35</v>
      </c>
      <c r="AN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O10" s="488"/>
      <c r="AP10" s="200"/>
    </row>
    <row r="11" spans="1:42" s="59" customFormat="1" ht="12" hidden="1" customHeight="1" x14ac:dyDescent="0.2">
      <c r="A11" s="195" t="s">
        <v>181</v>
      </c>
      <c r="B11" s="201">
        <f t="shared" ref="B11:AE11" ca="1" si="2">IFERROR(OFFSET(T.Feiertage.Bereich,MATCH(B$10,T.Feiertage.Bereich,0)-1,1,1,1),1)</f>
        <v>1</v>
      </c>
      <c r="C11" s="201">
        <f t="shared" ca="1" si="2"/>
        <v>1</v>
      </c>
      <c r="D11" s="201">
        <f t="shared" ca="1" si="2"/>
        <v>1</v>
      </c>
      <c r="E11" s="202">
        <f t="shared" ca="1" si="2"/>
        <v>1</v>
      </c>
      <c r="F11" s="201">
        <f t="shared" ca="1" si="2"/>
        <v>1</v>
      </c>
      <c r="G11" s="201">
        <f t="shared" ca="1" si="2"/>
        <v>1</v>
      </c>
      <c r="H11" s="201">
        <f t="shared" ca="1" si="2"/>
        <v>1</v>
      </c>
      <c r="I11" s="201">
        <f t="shared" ca="1" si="2"/>
        <v>1</v>
      </c>
      <c r="J11" s="202">
        <f t="shared" ca="1" si="2"/>
        <v>1</v>
      </c>
      <c r="K11" s="201">
        <f t="shared" ca="1" si="2"/>
        <v>1</v>
      </c>
      <c r="L11" s="202">
        <f t="shared" ca="1" si="2"/>
        <v>1</v>
      </c>
      <c r="M11" s="201">
        <f t="shared" ca="1" si="2"/>
        <v>0.5</v>
      </c>
      <c r="N11" s="201">
        <f t="shared" ca="1" si="2"/>
        <v>1</v>
      </c>
      <c r="O11" s="201">
        <f t="shared" ca="1" si="2"/>
        <v>1</v>
      </c>
      <c r="P11" s="201">
        <f t="shared" ca="1" si="2"/>
        <v>1</v>
      </c>
      <c r="Q11" s="202">
        <f t="shared" ca="1" si="2"/>
        <v>1</v>
      </c>
      <c r="R11" s="201">
        <f t="shared" ca="1" si="2"/>
        <v>1</v>
      </c>
      <c r="S11" s="202">
        <f t="shared" ca="1" si="2"/>
        <v>1</v>
      </c>
      <c r="T11" s="202">
        <f t="shared" ca="1" si="2"/>
        <v>1</v>
      </c>
      <c r="U11" s="201">
        <f t="shared" ca="1" si="2"/>
        <v>1</v>
      </c>
      <c r="V11" s="201">
        <f t="shared" ca="1" si="2"/>
        <v>1</v>
      </c>
      <c r="W11" s="201">
        <f t="shared" ca="1" si="2"/>
        <v>1</v>
      </c>
      <c r="X11" s="202">
        <f t="shared" ca="1" si="2"/>
        <v>1</v>
      </c>
      <c r="Y11" s="201">
        <f t="shared" ca="1" si="2"/>
        <v>1</v>
      </c>
      <c r="Z11" s="203">
        <f t="shared" ca="1" si="2"/>
        <v>1</v>
      </c>
      <c r="AA11" s="201">
        <f t="shared" ca="1" si="2"/>
        <v>1</v>
      </c>
      <c r="AB11" s="201">
        <f t="shared" ca="1" si="2"/>
        <v>1</v>
      </c>
      <c r="AC11" s="201">
        <f t="shared" ca="1" si="2"/>
        <v>1</v>
      </c>
      <c r="AD11" s="201">
        <f t="shared" ca="1" si="2"/>
        <v>1</v>
      </c>
      <c r="AE11" s="202">
        <f t="shared" ca="1" si="2"/>
        <v>1</v>
      </c>
      <c r="AF11" s="204"/>
      <c r="AG11" s="187"/>
      <c r="AH11" s="205"/>
      <c r="AI11" s="206"/>
      <c r="AJ11" s="207"/>
      <c r="AK11" s="208"/>
      <c r="AL11" s="208"/>
      <c r="AM11" s="207"/>
      <c r="AN11" s="208"/>
      <c r="AO11" s="208"/>
      <c r="AP11" s="200"/>
    </row>
    <row r="12" spans="1:42" s="59" customFormat="1" ht="12" hidden="1" customHeight="1" x14ac:dyDescent="0.2">
      <c r="A12" s="195" t="s">
        <v>191</v>
      </c>
      <c r="B12" s="209">
        <f t="shared" ref="B12:AE12" si="3">IF(OR(AND(ISNUMBER(EB.UJEintritt),EB.UJEintritt&gt;=B$10+1),AND(ISNUMBER(EB.UJAustritt),EB.UJAustritt&lt;=B$10-1)),0,1)</f>
        <v>1</v>
      </c>
      <c r="C12" s="209">
        <f t="shared" si="3"/>
        <v>1</v>
      </c>
      <c r="D12" s="209">
        <f t="shared" si="3"/>
        <v>1</v>
      </c>
      <c r="E12" s="194">
        <f t="shared" si="3"/>
        <v>1</v>
      </c>
      <c r="F12" s="209">
        <f t="shared" si="3"/>
        <v>1</v>
      </c>
      <c r="G12" s="209">
        <f t="shared" si="3"/>
        <v>1</v>
      </c>
      <c r="H12" s="209">
        <f t="shared" si="3"/>
        <v>1</v>
      </c>
      <c r="I12" s="209">
        <f t="shared" si="3"/>
        <v>1</v>
      </c>
      <c r="J12" s="194">
        <f t="shared" si="3"/>
        <v>1</v>
      </c>
      <c r="K12" s="209">
        <f t="shared" si="3"/>
        <v>1</v>
      </c>
      <c r="L12" s="194">
        <f t="shared" si="3"/>
        <v>1</v>
      </c>
      <c r="M12" s="209">
        <f t="shared" si="3"/>
        <v>1</v>
      </c>
      <c r="N12" s="209">
        <f t="shared" si="3"/>
        <v>1</v>
      </c>
      <c r="O12" s="209">
        <f t="shared" si="3"/>
        <v>1</v>
      </c>
      <c r="P12" s="209">
        <f t="shared" si="3"/>
        <v>1</v>
      </c>
      <c r="Q12" s="194">
        <f t="shared" si="3"/>
        <v>1</v>
      </c>
      <c r="R12" s="209">
        <f t="shared" si="3"/>
        <v>1</v>
      </c>
      <c r="S12" s="194">
        <f t="shared" si="3"/>
        <v>1</v>
      </c>
      <c r="T12" s="194">
        <f t="shared" si="3"/>
        <v>1</v>
      </c>
      <c r="U12" s="209">
        <f t="shared" si="3"/>
        <v>1</v>
      </c>
      <c r="V12" s="209">
        <f t="shared" si="3"/>
        <v>1</v>
      </c>
      <c r="W12" s="209">
        <f t="shared" si="3"/>
        <v>1</v>
      </c>
      <c r="X12" s="194">
        <f t="shared" si="3"/>
        <v>1</v>
      </c>
      <c r="Y12" s="209">
        <f t="shared" si="3"/>
        <v>1</v>
      </c>
      <c r="Z12" s="210">
        <f t="shared" si="3"/>
        <v>1</v>
      </c>
      <c r="AA12" s="209">
        <f t="shared" si="3"/>
        <v>1</v>
      </c>
      <c r="AB12" s="209">
        <f t="shared" si="3"/>
        <v>1</v>
      </c>
      <c r="AC12" s="209">
        <f t="shared" si="3"/>
        <v>1</v>
      </c>
      <c r="AD12" s="209">
        <f t="shared" si="3"/>
        <v>1</v>
      </c>
      <c r="AE12" s="194">
        <f t="shared" si="3"/>
        <v>1</v>
      </c>
      <c r="AF12" s="204"/>
      <c r="AG12" s="187"/>
      <c r="AH12" s="205"/>
      <c r="AI12" s="206"/>
      <c r="AJ12" s="207"/>
      <c r="AK12" s="208"/>
      <c r="AL12" s="208"/>
      <c r="AM12" s="207"/>
      <c r="AN12" s="208"/>
      <c r="AO12" s="208"/>
      <c r="AP12" s="200"/>
    </row>
    <row r="13" spans="1:42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204" t="str">
        <f t="shared" ref="AF13:AF23" si="4">A13</f>
        <v>ein</v>
      </c>
      <c r="AG13" s="187"/>
      <c r="AH13" s="205"/>
      <c r="AI13" s="206"/>
      <c r="AJ13" s="207"/>
      <c r="AK13" s="208"/>
      <c r="AL13" s="208"/>
      <c r="AM13" s="207"/>
      <c r="AN13" s="208"/>
      <c r="AO13" s="208"/>
      <c r="AP13" s="118"/>
    </row>
    <row r="14" spans="1:42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204" t="str">
        <f t="shared" si="4"/>
        <v>aus</v>
      </c>
      <c r="AG14" s="187"/>
      <c r="AH14" s="205"/>
      <c r="AI14" s="206"/>
      <c r="AJ14" s="207"/>
      <c r="AK14" s="208"/>
      <c r="AL14" s="208"/>
      <c r="AM14" s="207"/>
      <c r="AN14" s="208"/>
      <c r="AO14" s="208"/>
      <c r="AP14" s="118"/>
    </row>
    <row r="15" spans="1:42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204" t="str">
        <f t="shared" si="4"/>
        <v>ein</v>
      </c>
      <c r="AG15" s="187"/>
      <c r="AH15" s="205"/>
      <c r="AI15" s="206"/>
      <c r="AJ15" s="207"/>
      <c r="AK15" s="208"/>
      <c r="AL15" s="208"/>
      <c r="AM15" s="207"/>
      <c r="AN15" s="208"/>
      <c r="AO15" s="208"/>
      <c r="AP15" s="118"/>
    </row>
    <row r="16" spans="1:42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204" t="str">
        <f t="shared" si="4"/>
        <v>aus</v>
      </c>
      <c r="AG16" s="187"/>
      <c r="AH16" s="212"/>
      <c r="AI16" s="213"/>
      <c r="AJ16" s="208"/>
      <c r="AK16" s="208"/>
      <c r="AL16" s="208"/>
      <c r="AM16" s="207"/>
      <c r="AN16" s="208"/>
      <c r="AO16" s="208"/>
      <c r="AP16" s="118"/>
    </row>
    <row r="17" spans="1:42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204" t="str">
        <f t="shared" si="4"/>
        <v>ein</v>
      </c>
      <c r="AG17" s="187"/>
      <c r="AH17" s="212"/>
      <c r="AI17" s="213"/>
      <c r="AJ17" s="208"/>
      <c r="AK17" s="208"/>
      <c r="AL17" s="208"/>
      <c r="AM17" s="207"/>
      <c r="AN17" s="208"/>
      <c r="AO17" s="208"/>
      <c r="AP17" s="118"/>
    </row>
    <row r="18" spans="1:42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204" t="str">
        <f t="shared" si="4"/>
        <v>aus</v>
      </c>
      <c r="AG18" s="187"/>
      <c r="AH18" s="212"/>
      <c r="AI18" s="213"/>
      <c r="AJ18" s="208"/>
      <c r="AK18" s="208"/>
      <c r="AL18" s="208"/>
      <c r="AM18" s="207"/>
      <c r="AN18" s="208"/>
      <c r="AO18" s="208"/>
      <c r="AP18" s="118"/>
    </row>
    <row r="19" spans="1:42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204" t="str">
        <f t="shared" si="4"/>
        <v>ein</v>
      </c>
      <c r="AG19" s="187"/>
      <c r="AH19" s="212"/>
      <c r="AI19" s="213"/>
      <c r="AJ19" s="208"/>
      <c r="AK19" s="208"/>
      <c r="AL19" s="208"/>
      <c r="AM19" s="207"/>
      <c r="AN19" s="208"/>
      <c r="AO19" s="208"/>
      <c r="AP19" s="118"/>
    </row>
    <row r="20" spans="1:42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204" t="str">
        <f t="shared" si="4"/>
        <v>aus</v>
      </c>
      <c r="AG20" s="187"/>
      <c r="AH20" s="212"/>
      <c r="AI20" s="213"/>
      <c r="AJ20" s="208"/>
      <c r="AK20" s="208"/>
      <c r="AL20" s="208"/>
      <c r="AM20" s="207"/>
      <c r="AN20" s="208"/>
      <c r="AO20" s="208"/>
      <c r="AP20" s="118"/>
    </row>
    <row r="21" spans="1:42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204" t="str">
        <f t="shared" si="4"/>
        <v>ein</v>
      </c>
      <c r="AG21" s="187"/>
      <c r="AH21" s="212"/>
      <c r="AI21" s="213"/>
      <c r="AJ21" s="208"/>
      <c r="AK21" s="208"/>
      <c r="AL21" s="208"/>
      <c r="AM21" s="207"/>
      <c r="AN21" s="208"/>
      <c r="AO21" s="208"/>
      <c r="AP21" s="118"/>
    </row>
    <row r="22" spans="1:42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204" t="str">
        <f t="shared" si="4"/>
        <v>aus</v>
      </c>
      <c r="AG22" s="187"/>
      <c r="AH22" s="212"/>
      <c r="AI22" s="213"/>
      <c r="AJ22" s="208"/>
      <c r="AK22" s="208"/>
      <c r="AL22" s="208"/>
      <c r="AM22" s="207"/>
      <c r="AN22" s="208"/>
      <c r="AO22" s="208"/>
      <c r="AP22" s="118"/>
    </row>
    <row r="23" spans="1:42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E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6" t="str">
        <f t="shared" si="4"/>
        <v>Total ein/aus</v>
      </c>
      <c r="AG23" s="217"/>
      <c r="AH23" s="218">
        <f>SUM(B23:AE23)</f>
        <v>0</v>
      </c>
      <c r="AI23" s="213"/>
      <c r="AJ23" s="208"/>
      <c r="AK23" s="208"/>
      <c r="AL23" s="208"/>
      <c r="AM23" s="207"/>
      <c r="AN23" s="208"/>
      <c r="AO23" s="208"/>
      <c r="AP23" s="118"/>
    </row>
    <row r="24" spans="1:42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04"/>
      <c r="AG24" s="187"/>
      <c r="AH24" s="212"/>
      <c r="AI24" s="213"/>
      <c r="AJ24" s="208"/>
      <c r="AK24" s="208"/>
      <c r="AL24" s="208"/>
      <c r="AM24" s="207"/>
      <c r="AN24" s="208"/>
      <c r="AO24" s="208"/>
      <c r="AP24" s="118"/>
    </row>
    <row r="25" spans="1:42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204" t="str">
        <f t="shared" ref="AF25:AF30" si="6">A25</f>
        <v>bezahlte Pause ein</v>
      </c>
      <c r="AG25" s="187"/>
      <c r="AH25" s="212"/>
      <c r="AI25" s="213"/>
      <c r="AJ25" s="208"/>
      <c r="AK25" s="208"/>
      <c r="AL25" s="208"/>
      <c r="AM25" s="207"/>
      <c r="AN25" s="208"/>
      <c r="AO25" s="208"/>
      <c r="AP25" s="118"/>
    </row>
    <row r="26" spans="1:42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204" t="str">
        <f t="shared" si="6"/>
        <v>bezahlte Pause aus</v>
      </c>
      <c r="AG26" s="187"/>
      <c r="AH26" s="212"/>
      <c r="AI26" s="213"/>
      <c r="AJ26" s="208"/>
      <c r="AK26" s="208"/>
      <c r="AL26" s="208"/>
      <c r="AM26" s="207"/>
      <c r="AN26" s="208"/>
      <c r="AO26" s="208"/>
      <c r="AP26" s="118"/>
    </row>
    <row r="27" spans="1:42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204" t="str">
        <f t="shared" si="6"/>
        <v>bezahlte Pause ein</v>
      </c>
      <c r="AG27" s="187"/>
      <c r="AH27" s="212"/>
      <c r="AI27" s="213"/>
      <c r="AJ27" s="208"/>
      <c r="AK27" s="208"/>
      <c r="AL27" s="208"/>
      <c r="AM27" s="207"/>
      <c r="AN27" s="208"/>
      <c r="AO27" s="208"/>
      <c r="AP27" s="118"/>
    </row>
    <row r="28" spans="1:42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204" t="str">
        <f t="shared" si="6"/>
        <v>bezahlte Pause aus</v>
      </c>
      <c r="AG28" s="187"/>
      <c r="AH28" s="212"/>
      <c r="AI28" s="213"/>
      <c r="AJ28" s="208"/>
      <c r="AK28" s="208"/>
      <c r="AL28" s="208"/>
      <c r="AM28" s="207"/>
      <c r="AN28" s="208"/>
      <c r="AO28" s="208"/>
      <c r="AP28" s="118"/>
    </row>
    <row r="29" spans="1:42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204" t="str">
        <f t="shared" si="6"/>
        <v>bezahlte Pause ein</v>
      </c>
      <c r="AG29" s="187"/>
      <c r="AH29" s="212"/>
      <c r="AI29" s="213"/>
      <c r="AJ29" s="208"/>
      <c r="AK29" s="208"/>
      <c r="AL29" s="208"/>
      <c r="AM29" s="207"/>
      <c r="AN29" s="208"/>
      <c r="AO29" s="208"/>
      <c r="AP29" s="118"/>
    </row>
    <row r="30" spans="1:42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204" t="str">
        <f t="shared" si="6"/>
        <v>bezahlte Pause aus</v>
      </c>
      <c r="AG30" s="187"/>
      <c r="AH30" s="212"/>
      <c r="AI30" s="213"/>
      <c r="AJ30" s="208"/>
      <c r="AK30" s="208"/>
      <c r="AL30" s="208"/>
      <c r="AM30" s="207"/>
      <c r="AN30" s="208"/>
      <c r="AO30" s="208"/>
      <c r="AP30" s="118"/>
    </row>
    <row r="31" spans="1:42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04"/>
      <c r="AG31" s="187"/>
      <c r="AH31" s="212"/>
      <c r="AI31" s="213"/>
      <c r="AJ31" s="208"/>
      <c r="AK31" s="208"/>
      <c r="AL31" s="208"/>
      <c r="AM31" s="207"/>
      <c r="AN31" s="208"/>
      <c r="AO31" s="208"/>
      <c r="AP31" s="118"/>
    </row>
    <row r="32" spans="1:42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E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16" t="str">
        <f>A32</f>
        <v>Total Pausen (ein aus/bez.)</v>
      </c>
      <c r="AG32" s="217"/>
      <c r="AH32" s="218">
        <f>SUM(B32:AE32)</f>
        <v>0</v>
      </c>
      <c r="AI32" s="213"/>
      <c r="AJ32" s="208"/>
      <c r="AK32" s="208"/>
      <c r="AL32" s="208"/>
      <c r="AM32" s="207"/>
      <c r="AN32" s="208"/>
      <c r="AO32" s="208"/>
      <c r="AP32" s="118"/>
    </row>
    <row r="33" spans="1:42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04"/>
      <c r="AG33" s="187"/>
      <c r="AH33" s="212"/>
      <c r="AI33" s="213"/>
      <c r="AJ33" s="208"/>
      <c r="AK33" s="208"/>
      <c r="AL33" s="208"/>
      <c r="AM33" s="207"/>
      <c r="AN33" s="208"/>
      <c r="AO33" s="208"/>
      <c r="AP33" s="118"/>
    </row>
    <row r="34" spans="1:42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G34" s="227"/>
      <c r="AH34" s="223"/>
      <c r="AI34" s="228" t="str">
        <f ca="1">IF(T.50_Vetsuisse,IFERROR(SUMPRODUCT((B34:AE34=INDEX(T.Pikett.Bereich,4))*((B49:AE49)&lt;1/24*5)),0) &amp; " / " &amp; IFERROR(SUMPRODUCT((B34:AE34=INDEX(T.Pikett.Bereich,4))*((B49:AE49)&gt;=1/24*5)),0) &amp; " / " &amp; IFERROR(SUMPRODUCT((B34:AE34=INDEX(T.Pikett.Bereich,4))*((B49:AE49)&lt;1/24*5)),0) + IFERROR(SUMPRODUCT((B34:AE34=INDEX(T.Pikett.Bereich,4))*((B49:AE49)&gt;=1/24*5)),0),
IFERROR(SUMPRODUCT((B34:AE34=INDEX(T.Pikett.Bereich,4))*(WEEKDAY(B10:AE10,2)&lt;6)*(B11:AE11&lt;&gt;0)),0) &amp; " / " &amp; IFERROR(SUMPRODUCT((B34:AE34=INDEX(T.Pikett.Bereich,4))*(WEEKDAY(B10:AE10,2)&gt;5)*(B11:AE11&lt;&gt;0))+SUMPRODUCT((B34:AE34=INDEX(T.Pikett.Bereich,4))*(B11:AE11=0)),0) &amp; " / " &amp; IFERROR(SUMPRODUCT((B34:AE34=INDEX(T.Pikett.Bereich,4))*(WEEKDAY(B10:AE10,2)&lt;6)*(B11:AE11&lt;&gt;0)),0) + IFERROR(SUMPRODUCT((B34:AE34=INDEX(T.Pikett.Bereich,4))*(WEEKDAY(B10:AE10,2)&gt;5)*(B11:AE11&lt;&gt;0))+SUMPRODUCT((B34:AE34=INDEX(T.Pikett.Bereich,4))*(B11:AE11=0)),0))</f>
        <v>0 / 0 / 0</v>
      </c>
      <c r="AJ34" s="208"/>
      <c r="AK34" s="208"/>
      <c r="AL34" s="208"/>
      <c r="AM34" s="207"/>
      <c r="AN34" s="208"/>
      <c r="AO34" s="208"/>
      <c r="AP34" s="118"/>
    </row>
    <row r="35" spans="1:42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204" t="str">
        <f t="shared" ref="AF35:AF45" si="8">A35</f>
        <v>ein</v>
      </c>
      <c r="AG35" s="187"/>
      <c r="AH35" s="212"/>
      <c r="AI35" s="213"/>
      <c r="AJ35" s="208"/>
      <c r="AK35" s="208"/>
      <c r="AL35" s="208"/>
      <c r="AM35" s="207"/>
      <c r="AN35" s="208"/>
      <c r="AO35" s="208"/>
      <c r="AP35" s="118"/>
    </row>
    <row r="36" spans="1:42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204" t="str">
        <f t="shared" si="8"/>
        <v>aus</v>
      </c>
      <c r="AG36" s="187"/>
      <c r="AH36" s="212"/>
      <c r="AI36" s="213"/>
      <c r="AJ36" s="208"/>
      <c r="AK36" s="208"/>
      <c r="AL36" s="208"/>
      <c r="AM36" s="207"/>
      <c r="AN36" s="208"/>
      <c r="AO36" s="208"/>
      <c r="AP36" s="118"/>
    </row>
    <row r="37" spans="1:42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204" t="str">
        <f t="shared" si="8"/>
        <v>ein</v>
      </c>
      <c r="AG37" s="187"/>
      <c r="AH37" s="212"/>
      <c r="AI37" s="213"/>
      <c r="AJ37" s="208"/>
      <c r="AK37" s="208"/>
      <c r="AL37" s="208"/>
      <c r="AM37" s="207"/>
      <c r="AN37" s="208"/>
      <c r="AO37" s="208"/>
      <c r="AP37" s="118"/>
    </row>
    <row r="38" spans="1:42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204" t="str">
        <f t="shared" si="8"/>
        <v>aus</v>
      </c>
      <c r="AG38" s="187"/>
      <c r="AH38" s="212"/>
      <c r="AI38" s="213"/>
      <c r="AJ38" s="208"/>
      <c r="AK38" s="208"/>
      <c r="AL38" s="208"/>
      <c r="AM38" s="207"/>
      <c r="AN38" s="208"/>
      <c r="AO38" s="208"/>
      <c r="AP38" s="118"/>
    </row>
    <row r="39" spans="1:42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204" t="str">
        <f t="shared" si="8"/>
        <v>ein</v>
      </c>
      <c r="AG39" s="187"/>
      <c r="AH39" s="212"/>
      <c r="AI39" s="213"/>
      <c r="AJ39" s="208"/>
      <c r="AK39" s="208"/>
      <c r="AL39" s="208"/>
      <c r="AM39" s="207"/>
      <c r="AN39" s="208"/>
      <c r="AO39" s="208"/>
      <c r="AP39" s="118"/>
    </row>
    <row r="40" spans="1:42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204" t="str">
        <f t="shared" si="8"/>
        <v>aus</v>
      </c>
      <c r="AG40" s="187"/>
      <c r="AH40" s="212"/>
      <c r="AI40" s="213"/>
      <c r="AJ40" s="208"/>
      <c r="AK40" s="208"/>
      <c r="AL40" s="208"/>
      <c r="AM40" s="207"/>
      <c r="AN40" s="208"/>
      <c r="AO40" s="208"/>
      <c r="AP40" s="118"/>
    </row>
    <row r="41" spans="1:42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204" t="str">
        <f t="shared" si="8"/>
        <v>ein</v>
      </c>
      <c r="AG41" s="187"/>
      <c r="AH41" s="212"/>
      <c r="AI41" s="213"/>
      <c r="AJ41" s="208"/>
      <c r="AK41" s="208"/>
      <c r="AL41" s="208"/>
      <c r="AM41" s="207"/>
      <c r="AN41" s="208"/>
      <c r="AO41" s="208"/>
      <c r="AP41" s="118"/>
    </row>
    <row r="42" spans="1:42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204" t="str">
        <f t="shared" si="8"/>
        <v>aus</v>
      </c>
      <c r="AG42" s="187"/>
      <c r="AH42" s="212"/>
      <c r="AI42" s="213"/>
      <c r="AJ42" s="208"/>
      <c r="AK42" s="208"/>
      <c r="AL42" s="208"/>
      <c r="AM42" s="207"/>
      <c r="AN42" s="208"/>
      <c r="AO42" s="208"/>
      <c r="AP42" s="118"/>
    </row>
    <row r="43" spans="1:42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204" t="str">
        <f t="shared" si="8"/>
        <v>ein</v>
      </c>
      <c r="AG43" s="187"/>
      <c r="AH43" s="212"/>
      <c r="AI43" s="213"/>
      <c r="AJ43" s="208"/>
      <c r="AK43" s="208"/>
      <c r="AL43" s="208"/>
      <c r="AM43" s="207"/>
      <c r="AN43" s="208"/>
      <c r="AO43" s="208"/>
      <c r="AP43" s="118"/>
    </row>
    <row r="44" spans="1:42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204" t="str">
        <f t="shared" si="8"/>
        <v>aus</v>
      </c>
      <c r="AG44" s="187"/>
      <c r="AH44" s="212"/>
      <c r="AI44" s="213"/>
      <c r="AJ44" s="208"/>
      <c r="AK44" s="208"/>
      <c r="AL44" s="208"/>
      <c r="AM44" s="207"/>
      <c r="AN44" s="208"/>
      <c r="AO44" s="208"/>
      <c r="AP44" s="118"/>
    </row>
    <row r="45" spans="1:42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E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6" t="str">
        <f t="shared" si="8"/>
        <v>Total Pikett ein/aus</v>
      </c>
      <c r="AG45" s="217"/>
      <c r="AH45" s="218">
        <f>SUM(B45:AE45)</f>
        <v>0</v>
      </c>
      <c r="AI45" s="213"/>
      <c r="AJ45" s="208"/>
      <c r="AK45" s="208"/>
      <c r="AL45" s="208"/>
      <c r="AM45" s="207"/>
      <c r="AN45" s="208"/>
      <c r="AO45" s="208"/>
      <c r="AP45" s="118"/>
    </row>
    <row r="46" spans="1:42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04"/>
      <c r="AG46" s="187"/>
      <c r="AH46" s="212"/>
      <c r="AI46" s="213"/>
      <c r="AJ46" s="208"/>
      <c r="AK46" s="208"/>
      <c r="AL46" s="208"/>
      <c r="AM46" s="207"/>
      <c r="AN46" s="208"/>
      <c r="AO46" s="208"/>
      <c r="AP46" s="118"/>
    </row>
    <row r="47" spans="1:42" s="38" customFormat="1" ht="16.5" hidden="1" customHeight="1" outlineLevel="1" x14ac:dyDescent="0.2">
      <c r="A47" s="214" t="s">
        <v>222</v>
      </c>
      <c r="B47" s="215">
        <f t="shared" ref="B47:AE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6" t="str">
        <f>A47</f>
        <v>Total Pikettstunden heute</v>
      </c>
      <c r="AG47" s="187"/>
      <c r="AH47" s="212"/>
      <c r="AI47" s="213"/>
      <c r="AJ47" s="208"/>
      <c r="AK47" s="208"/>
      <c r="AL47" s="208"/>
      <c r="AM47" s="207"/>
      <c r="AN47" s="208"/>
      <c r="AO47" s="208"/>
      <c r="AP47" s="118"/>
    </row>
    <row r="48" spans="1:42" s="38" customFormat="1" ht="16.5" hidden="1" customHeight="1" outlineLevel="1" x14ac:dyDescent="0.2">
      <c r="A48" s="214" t="s">
        <v>223</v>
      </c>
      <c r="B48" s="224">
        <f t="shared" ref="B48:AE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16" t="str">
        <f>A48</f>
        <v>Total Pikettstunden gestern</v>
      </c>
      <c r="AG48" s="187"/>
      <c r="AH48" s="212"/>
      <c r="AI48" s="213"/>
      <c r="AJ48" s="208"/>
      <c r="AK48" s="208"/>
      <c r="AL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M48" s="207"/>
      <c r="AN48" s="208"/>
      <c r="AO48" s="208"/>
      <c r="AP48" s="118"/>
    </row>
    <row r="49" spans="1:42" s="38" customFormat="1" ht="16.5" hidden="1" customHeight="1" outlineLevel="1" x14ac:dyDescent="0.2">
      <c r="A49" s="214" t="s">
        <v>219</v>
      </c>
      <c r="B49" s="215">
        <f t="shared" ref="B49:AE49" ca="1" si="12">B47+IF(B$10=EOMONTH(B$10,0),$AL48,OFFSET(B48,0,1))</f>
        <v>0</v>
      </c>
      <c r="C49" s="215">
        <f t="shared" ca="1" si="12"/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6" t="str">
        <f>A49</f>
        <v>Total Pikettdienststunden</v>
      </c>
      <c r="AG49" s="217"/>
      <c r="AH49" s="218">
        <f ca="1">SUM(B49:AE49)</f>
        <v>0</v>
      </c>
      <c r="AI49" s="213"/>
      <c r="AJ49" s="208"/>
      <c r="AK49" s="208"/>
      <c r="AL49" s="208"/>
      <c r="AM49" s="207"/>
      <c r="AN49" s="208"/>
      <c r="AO49" s="208"/>
      <c r="AP49" s="118"/>
    </row>
    <row r="50" spans="1:42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31"/>
      <c r="AG50" s="232"/>
      <c r="AH50" s="221"/>
      <c r="AI50" s="213"/>
      <c r="AJ50" s="208"/>
      <c r="AK50" s="208"/>
      <c r="AL50" s="208"/>
      <c r="AM50" s="207"/>
      <c r="AN50" s="208"/>
      <c r="AO50" s="208"/>
      <c r="AP50" s="118"/>
    </row>
    <row r="51" spans="1:42" s="38" customFormat="1" ht="15" customHeight="1" x14ac:dyDescent="0.2">
      <c r="A51" s="214" t="s">
        <v>109</v>
      </c>
      <c r="B51" s="233">
        <f t="shared" ref="B51:AE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16" t="str">
        <f t="shared" ref="AF51:AF56" si="14">A51</f>
        <v>Arbeitszeit IST</v>
      </c>
      <c r="AG51" s="217"/>
      <c r="AH51" s="237">
        <f>SUM(B51:AE51)</f>
        <v>0</v>
      </c>
      <c r="AI51" s="213"/>
      <c r="AJ51" s="208" t="str">
        <f>IF(T.MedizinischeMikrobiologie,Monat.ZZSND.Total,"")</f>
        <v/>
      </c>
      <c r="AK51" s="208"/>
      <c r="AL51" s="208"/>
      <c r="AM51" s="208" t="str">
        <f>IF(T.MedizinischeMikrobiologie,SUM(AH51,AJ51),"")</f>
        <v/>
      </c>
      <c r="AN51" s="208"/>
      <c r="AO51" s="208"/>
      <c r="AP51" s="118"/>
    </row>
    <row r="52" spans="1:42" s="38" customFormat="1" ht="15" customHeight="1" outlineLevel="1" x14ac:dyDescent="0.2">
      <c r="A52" s="211" t="s">
        <v>197</v>
      </c>
      <c r="B52" s="78">
        <f t="shared" ref="B52:AE52" ca="1" si="15">IF(B$12=0,0,ROUND(INDEX(Monat.RAZ1_7.Bereich,WEEKDAY(B$10,2))*B$11*1440,0)/1440)</f>
        <v>0.35</v>
      </c>
      <c r="C52" s="78">
        <f t="shared" ca="1" si="15"/>
        <v>0.35</v>
      </c>
      <c r="D52" s="79">
        <f t="shared" ca="1" si="15"/>
        <v>0</v>
      </c>
      <c r="E52" s="78">
        <f t="shared" ca="1" si="15"/>
        <v>0</v>
      </c>
      <c r="F52" s="79">
        <f t="shared" ca="1" si="15"/>
        <v>0.35</v>
      </c>
      <c r="G52" s="79">
        <f t="shared" ca="1" si="15"/>
        <v>0.35</v>
      </c>
      <c r="H52" s="79">
        <f t="shared" ca="1" si="15"/>
        <v>0.35</v>
      </c>
      <c r="I52" s="79">
        <f t="shared" ca="1" si="15"/>
        <v>0.35</v>
      </c>
      <c r="J52" s="78">
        <f t="shared" ca="1" si="15"/>
        <v>0.35</v>
      </c>
      <c r="K52" s="79">
        <f t="shared" ca="1" si="15"/>
        <v>0</v>
      </c>
      <c r="L52" s="78">
        <f t="shared" ca="1" si="15"/>
        <v>0</v>
      </c>
      <c r="M52" s="79">
        <f t="shared" ca="1" si="15"/>
        <v>0.17499999999999999</v>
      </c>
      <c r="N52" s="79">
        <f t="shared" ca="1" si="15"/>
        <v>0.35</v>
      </c>
      <c r="O52" s="79">
        <f t="shared" ca="1" si="15"/>
        <v>0.35</v>
      </c>
      <c r="P52" s="79">
        <f t="shared" ca="1" si="15"/>
        <v>0.35</v>
      </c>
      <c r="Q52" s="78">
        <f t="shared" ca="1" si="15"/>
        <v>0.35</v>
      </c>
      <c r="R52" s="79">
        <f t="shared" ca="1" si="15"/>
        <v>0</v>
      </c>
      <c r="S52" s="78">
        <f t="shared" ca="1" si="15"/>
        <v>0</v>
      </c>
      <c r="T52" s="78">
        <f t="shared" ca="1" si="15"/>
        <v>0.35</v>
      </c>
      <c r="U52" s="79">
        <f t="shared" ca="1" si="15"/>
        <v>0.35</v>
      </c>
      <c r="V52" s="79">
        <f t="shared" ca="1" si="15"/>
        <v>0.35</v>
      </c>
      <c r="W52" s="79">
        <f t="shared" ca="1" si="15"/>
        <v>0.35</v>
      </c>
      <c r="X52" s="78">
        <f t="shared" ca="1" si="15"/>
        <v>0.35</v>
      </c>
      <c r="Y52" s="79">
        <f t="shared" ca="1" si="15"/>
        <v>0</v>
      </c>
      <c r="Z52" s="80">
        <f t="shared" ca="1" si="15"/>
        <v>0</v>
      </c>
      <c r="AA52" s="79">
        <f t="shared" ca="1" si="15"/>
        <v>0.35</v>
      </c>
      <c r="AB52" s="79">
        <f t="shared" ca="1" si="15"/>
        <v>0.35</v>
      </c>
      <c r="AC52" s="79">
        <f t="shared" ca="1" si="15"/>
        <v>0.35</v>
      </c>
      <c r="AD52" s="79">
        <f t="shared" ca="1" si="15"/>
        <v>0.35</v>
      </c>
      <c r="AE52" s="78">
        <f t="shared" ca="1" si="15"/>
        <v>0.35</v>
      </c>
      <c r="AF52" s="238" t="str">
        <f t="shared" si="14"/>
        <v>Regelarbeitszeit (Info)</v>
      </c>
      <c r="AG52" s="217"/>
      <c r="AH52" s="212"/>
      <c r="AI52" s="213"/>
      <c r="AJ52" s="208"/>
      <c r="AK52" s="208"/>
      <c r="AL52" s="208"/>
      <c r="AM52" s="207"/>
      <c r="AN52" s="208"/>
      <c r="AO52" s="208"/>
      <c r="AP52" s="118"/>
    </row>
    <row r="53" spans="1:42" s="38" customFormat="1" ht="15" customHeight="1" x14ac:dyDescent="0.2">
      <c r="A53" s="211" t="s">
        <v>155</v>
      </c>
      <c r="B53" s="239">
        <f t="shared" ref="B53:AE53" ca="1" si="16">IF(B$12=0,0,ROUND(INDEX(EB.AZSOLLTag100.Bereich,MATCH(INDEX(EB.Monate.Bereich,MONTH(Monat.Tag1)),EB.Monate.Bereich,0))*B$11*IF(WEEKDAY(B$10,2)&gt;5,0,1)*$V$2/100*1440,0)/1440)</f>
        <v>0.35</v>
      </c>
      <c r="C53" s="239">
        <f t="shared" ca="1" si="16"/>
        <v>0.35</v>
      </c>
      <c r="D53" s="239">
        <f t="shared" ca="1" si="16"/>
        <v>0</v>
      </c>
      <c r="E53" s="239">
        <f t="shared" ca="1" si="16"/>
        <v>0</v>
      </c>
      <c r="F53" s="239">
        <f t="shared" ca="1" si="16"/>
        <v>0.35</v>
      </c>
      <c r="G53" s="239">
        <f t="shared" ca="1" si="16"/>
        <v>0.35</v>
      </c>
      <c r="H53" s="239">
        <f t="shared" ca="1" si="16"/>
        <v>0.35</v>
      </c>
      <c r="I53" s="239">
        <f t="shared" ca="1" si="16"/>
        <v>0.35</v>
      </c>
      <c r="J53" s="239">
        <f t="shared" ca="1" si="16"/>
        <v>0.35</v>
      </c>
      <c r="K53" s="239">
        <f t="shared" ca="1" si="16"/>
        <v>0</v>
      </c>
      <c r="L53" s="239">
        <f t="shared" ca="1" si="16"/>
        <v>0</v>
      </c>
      <c r="M53" s="239">
        <f t="shared" ca="1" si="16"/>
        <v>0.17499999999999999</v>
      </c>
      <c r="N53" s="239">
        <f t="shared" ca="1" si="16"/>
        <v>0.35</v>
      </c>
      <c r="O53" s="239">
        <f t="shared" ca="1" si="16"/>
        <v>0.35</v>
      </c>
      <c r="P53" s="239">
        <f t="shared" ca="1" si="16"/>
        <v>0.35</v>
      </c>
      <c r="Q53" s="239">
        <f t="shared" ca="1" si="16"/>
        <v>0.35</v>
      </c>
      <c r="R53" s="239">
        <f t="shared" ca="1" si="16"/>
        <v>0</v>
      </c>
      <c r="S53" s="239">
        <f t="shared" ca="1" si="16"/>
        <v>0</v>
      </c>
      <c r="T53" s="239">
        <f t="shared" ca="1" si="16"/>
        <v>0.35</v>
      </c>
      <c r="U53" s="239">
        <f t="shared" ca="1" si="16"/>
        <v>0.35</v>
      </c>
      <c r="V53" s="239">
        <f t="shared" ca="1" si="16"/>
        <v>0.35</v>
      </c>
      <c r="W53" s="239">
        <f t="shared" ca="1" si="16"/>
        <v>0.35</v>
      </c>
      <c r="X53" s="239">
        <f t="shared" ca="1" si="16"/>
        <v>0.35</v>
      </c>
      <c r="Y53" s="239">
        <f t="shared" ca="1" si="16"/>
        <v>0</v>
      </c>
      <c r="Z53" s="239">
        <f t="shared" ca="1" si="16"/>
        <v>0</v>
      </c>
      <c r="AA53" s="239">
        <f t="shared" ca="1" si="16"/>
        <v>0.35</v>
      </c>
      <c r="AB53" s="239">
        <f t="shared" ca="1" si="16"/>
        <v>0.35</v>
      </c>
      <c r="AC53" s="239">
        <f t="shared" ca="1" si="16"/>
        <v>0.35</v>
      </c>
      <c r="AD53" s="239">
        <f t="shared" ca="1" si="16"/>
        <v>0.35</v>
      </c>
      <c r="AE53" s="239">
        <f t="shared" ca="1" si="16"/>
        <v>0.35</v>
      </c>
      <c r="AF53" s="204" t="str">
        <f t="shared" si="14"/>
        <v>Arbeitszeit SOLL gem. BG</v>
      </c>
      <c r="AG53" s="217"/>
      <c r="AH53" s="237">
        <f ca="1">SUM(B53:AE53)</f>
        <v>7.5249999999999968</v>
      </c>
      <c r="AI53" s="213"/>
      <c r="AJ53" s="208"/>
      <c r="AK53" s="208"/>
      <c r="AL53" s="208"/>
      <c r="AM53" s="207"/>
      <c r="AN53" s="208"/>
      <c r="AO53" s="208"/>
      <c r="AP53" s="118"/>
    </row>
    <row r="54" spans="1:42" s="38" customFormat="1" ht="15" hidden="1" customHeight="1" outlineLevel="1" x14ac:dyDescent="0.2">
      <c r="A54" s="211" t="s">
        <v>143</v>
      </c>
      <c r="B54" s="239">
        <f t="shared" ref="B54:AE54" ca="1" si="17">ROUND(INDEX(EB.AZSOLLTag100.Bereich,MATCH(INDEX(EB.Monate.Bereich,MONTH(Monat.Tag1)),EB.Monate.Bereich,0))*B$11*IF(WEEKDAY(B$10,2)&gt;5,0,1)*1440,0)/1440</f>
        <v>0.35</v>
      </c>
      <c r="C54" s="239">
        <f t="shared" ca="1" si="17"/>
        <v>0.35</v>
      </c>
      <c r="D54" s="240">
        <f t="shared" ca="1" si="17"/>
        <v>0</v>
      </c>
      <c r="E54" s="239">
        <f t="shared" ca="1" si="17"/>
        <v>0</v>
      </c>
      <c r="F54" s="240">
        <f t="shared" ca="1" si="17"/>
        <v>0.35</v>
      </c>
      <c r="G54" s="240">
        <f t="shared" ca="1" si="17"/>
        <v>0.35</v>
      </c>
      <c r="H54" s="240">
        <f t="shared" ca="1" si="17"/>
        <v>0.35</v>
      </c>
      <c r="I54" s="240">
        <f t="shared" ca="1" si="17"/>
        <v>0.35</v>
      </c>
      <c r="J54" s="239">
        <f t="shared" ca="1" si="17"/>
        <v>0.35</v>
      </c>
      <c r="K54" s="240">
        <f t="shared" ca="1" si="17"/>
        <v>0</v>
      </c>
      <c r="L54" s="239">
        <f t="shared" ca="1" si="17"/>
        <v>0</v>
      </c>
      <c r="M54" s="240">
        <f t="shared" ca="1" si="17"/>
        <v>0.17499999999999999</v>
      </c>
      <c r="N54" s="240">
        <f t="shared" ca="1" si="17"/>
        <v>0.35</v>
      </c>
      <c r="O54" s="240">
        <f t="shared" ca="1" si="17"/>
        <v>0.35</v>
      </c>
      <c r="P54" s="240">
        <f t="shared" ca="1" si="17"/>
        <v>0.35</v>
      </c>
      <c r="Q54" s="239">
        <f t="shared" ca="1" si="17"/>
        <v>0.35</v>
      </c>
      <c r="R54" s="240">
        <f t="shared" ca="1" si="17"/>
        <v>0</v>
      </c>
      <c r="S54" s="239">
        <f t="shared" ca="1" si="17"/>
        <v>0</v>
      </c>
      <c r="T54" s="239">
        <f t="shared" ca="1" si="17"/>
        <v>0.35</v>
      </c>
      <c r="U54" s="240">
        <f t="shared" ca="1" si="17"/>
        <v>0.35</v>
      </c>
      <c r="V54" s="240">
        <f t="shared" ca="1" si="17"/>
        <v>0.35</v>
      </c>
      <c r="W54" s="240">
        <f t="shared" ca="1" si="17"/>
        <v>0.35</v>
      </c>
      <c r="X54" s="239">
        <f t="shared" ca="1" si="17"/>
        <v>0.35</v>
      </c>
      <c r="Y54" s="240">
        <f t="shared" ca="1" si="17"/>
        <v>0</v>
      </c>
      <c r="Z54" s="241">
        <f t="shared" ca="1" si="17"/>
        <v>0</v>
      </c>
      <c r="AA54" s="240">
        <f t="shared" ca="1" si="17"/>
        <v>0.35</v>
      </c>
      <c r="AB54" s="240">
        <f t="shared" ca="1" si="17"/>
        <v>0.35</v>
      </c>
      <c r="AC54" s="240">
        <f t="shared" ca="1" si="17"/>
        <v>0.35</v>
      </c>
      <c r="AD54" s="240">
        <f t="shared" ca="1" si="17"/>
        <v>0.35</v>
      </c>
      <c r="AE54" s="239">
        <f t="shared" ca="1" si="17"/>
        <v>0.35</v>
      </c>
      <c r="AF54" s="204" t="str">
        <f t="shared" si="14"/>
        <v>Arbeitszeit SOLL 100%</v>
      </c>
      <c r="AG54" s="217"/>
      <c r="AH54" s="237">
        <f ca="1">SUM(B54:AE54)</f>
        <v>7.5249999999999968</v>
      </c>
      <c r="AI54" s="213"/>
      <c r="AJ54" s="208"/>
      <c r="AK54" s="208"/>
      <c r="AL54" s="208"/>
      <c r="AM54" s="207"/>
      <c r="AN54" s="208"/>
      <c r="AO54" s="208"/>
      <c r="AP54" s="118"/>
    </row>
    <row r="55" spans="1:42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E55" ca="1" si="18">ROUND((C51-C53)*1440,0)/1440</f>
        <v>-0.35</v>
      </c>
      <c r="D55" s="233">
        <f t="shared" ca="1" si="18"/>
        <v>0</v>
      </c>
      <c r="E55" s="235">
        <f t="shared" ca="1" si="18"/>
        <v>0</v>
      </c>
      <c r="F55" s="233">
        <f t="shared" ca="1" si="18"/>
        <v>-0.35</v>
      </c>
      <c r="G55" s="233">
        <f t="shared" ca="1" si="18"/>
        <v>-0.35</v>
      </c>
      <c r="H55" s="233">
        <f t="shared" ca="1" si="18"/>
        <v>-0.35</v>
      </c>
      <c r="I55" s="233">
        <f t="shared" ca="1" si="18"/>
        <v>-0.35</v>
      </c>
      <c r="J55" s="235">
        <f t="shared" ca="1" si="18"/>
        <v>-0.35</v>
      </c>
      <c r="K55" s="233">
        <f t="shared" ca="1" si="18"/>
        <v>0</v>
      </c>
      <c r="L55" s="235">
        <f t="shared" ca="1" si="18"/>
        <v>0</v>
      </c>
      <c r="M55" s="233">
        <f t="shared" ca="1" si="18"/>
        <v>-0.17499999999999999</v>
      </c>
      <c r="N55" s="233">
        <f t="shared" ca="1" si="18"/>
        <v>-0.35</v>
      </c>
      <c r="O55" s="233">
        <f t="shared" ca="1" si="18"/>
        <v>-0.35</v>
      </c>
      <c r="P55" s="233">
        <f t="shared" ca="1" si="18"/>
        <v>-0.35</v>
      </c>
      <c r="Q55" s="235">
        <f t="shared" ca="1" si="18"/>
        <v>-0.35</v>
      </c>
      <c r="R55" s="233">
        <f t="shared" ca="1" si="18"/>
        <v>0</v>
      </c>
      <c r="S55" s="235">
        <f t="shared" ca="1" si="18"/>
        <v>0</v>
      </c>
      <c r="T55" s="235">
        <f t="shared" ca="1" si="18"/>
        <v>-0.35</v>
      </c>
      <c r="U55" s="233">
        <f t="shared" ca="1" si="18"/>
        <v>-0.35</v>
      </c>
      <c r="V55" s="233">
        <f t="shared" ca="1" si="18"/>
        <v>-0.35</v>
      </c>
      <c r="W55" s="233">
        <f t="shared" ca="1" si="18"/>
        <v>-0.35</v>
      </c>
      <c r="X55" s="235">
        <f t="shared" ca="1" si="18"/>
        <v>-0.35</v>
      </c>
      <c r="Y55" s="233">
        <f t="shared" ca="1" si="18"/>
        <v>0</v>
      </c>
      <c r="Z55" s="236">
        <f t="shared" ca="1" si="18"/>
        <v>0</v>
      </c>
      <c r="AA55" s="233">
        <f t="shared" ca="1" si="18"/>
        <v>-0.35</v>
      </c>
      <c r="AB55" s="233">
        <f t="shared" ca="1" si="18"/>
        <v>-0.35</v>
      </c>
      <c r="AC55" s="233">
        <f t="shared" ca="1" si="18"/>
        <v>-0.35</v>
      </c>
      <c r="AD55" s="233">
        <f t="shared" ca="1" si="18"/>
        <v>-0.35</v>
      </c>
      <c r="AE55" s="235">
        <f t="shared" ca="1" si="18"/>
        <v>-0.35</v>
      </c>
      <c r="AF55" s="204" t="str">
        <f t="shared" si="14"/>
        <v>+/- SOLL/IST täglich</v>
      </c>
      <c r="AG55" s="217"/>
      <c r="AH55" s="237">
        <f ca="1">SUM(B55:AE55)</f>
        <v>-7.5249999999999968</v>
      </c>
      <c r="AI55" s="213"/>
      <c r="AJ55" s="208"/>
      <c r="AK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-7.6999999999999966</v>
      </c>
      <c r="AL55" s="208"/>
      <c r="AM55" s="244">
        <f ca="1">IF(AG57="+",(AH55+AH57),(AH55-AH57))</f>
        <v>-7.5249999999999968</v>
      </c>
      <c r="AN55" s="244">
        <f ca="1">SUM(OFFSET(J.AZSaldo.Total,-12,0,MONTH(Monat.Tag1),1))</f>
        <v>-65.949999999999974</v>
      </c>
      <c r="AO55" s="244">
        <f ca="1">J.AZSaldo.Total</f>
        <v>-88.349999999999966</v>
      </c>
      <c r="AP55" s="118"/>
    </row>
    <row r="56" spans="1:42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04" t="str">
        <f t="shared" si="14"/>
        <v>aktuelle Mehr-/Minusstunden</v>
      </c>
      <c r="AG56" s="217"/>
      <c r="AH56" s="237">
        <f ca="1">OFFSET(B56,0,DAY(EOMONTH(Monat.Tag1,0))-1,1,1)</f>
        <v>0</v>
      </c>
      <c r="AI56" s="213"/>
      <c r="AJ56" s="208"/>
      <c r="AK56" s="208"/>
      <c r="AL56" s="208"/>
      <c r="AM56" s="207"/>
      <c r="AN56" s="208"/>
      <c r="AO56" s="208"/>
      <c r="AP56" s="118"/>
    </row>
    <row r="57" spans="1:42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11" t="s">
        <v>140</v>
      </c>
      <c r="AG57" s="43" t="s">
        <v>27</v>
      </c>
      <c r="AH57" s="73"/>
      <c r="AI57" s="253"/>
      <c r="AJ57" s="254"/>
      <c r="AK57" s="208"/>
      <c r="AL57" s="208"/>
      <c r="AM57" s="207"/>
      <c r="AN57" s="255"/>
      <c r="AO57" s="255"/>
      <c r="AP57" s="162"/>
    </row>
    <row r="58" spans="1:42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8" t="s">
        <v>230</v>
      </c>
      <c r="AG58" s="217"/>
      <c r="AH58" s="237">
        <f ca="1">IF(AG57="+",(Monat.ZUeZ.Total+AH57),(Monat.ZUeZ.Total-AH57))</f>
        <v>0</v>
      </c>
      <c r="AI58" s="259"/>
      <c r="AJ58" s="260"/>
      <c r="AK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L58" s="208"/>
      <c r="AM58" s="244">
        <f ca="1">AH58</f>
        <v>0</v>
      </c>
      <c r="AN58" s="208"/>
      <c r="AO58" s="208"/>
      <c r="AP58" s="130"/>
    </row>
    <row r="59" spans="1:42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04"/>
      <c r="AG59" s="187"/>
      <c r="AH59" s="212"/>
      <c r="AI59" s="213"/>
      <c r="AJ59" s="208"/>
      <c r="AK59" s="208"/>
      <c r="AL59" s="208"/>
      <c r="AM59" s="207"/>
      <c r="AN59" s="208"/>
      <c r="AO59" s="208"/>
      <c r="AP59" s="118"/>
    </row>
    <row r="60" spans="1:42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04" t="str">
        <f>A60</f>
        <v>Angeordnete ÜZ</v>
      </c>
      <c r="AG60" s="217"/>
      <c r="AH60" s="237">
        <f ca="1">SUM(B60:AE60)</f>
        <v>0</v>
      </c>
      <c r="AI60" s="213"/>
      <c r="AJ60" s="208"/>
      <c r="AK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L60" s="208"/>
      <c r="AM60" s="244">
        <f ca="1">AH60+AK60</f>
        <v>0</v>
      </c>
      <c r="AN60" s="244">
        <f ca="1">SUM(OFFSET(Jahr.AngÜZ,-12,0,MONTH(Monat.Tag1),1))</f>
        <v>0</v>
      </c>
      <c r="AO60" s="244">
        <f ca="1">Jahr.AngÜZ</f>
        <v>0</v>
      </c>
      <c r="AP60" s="118"/>
    </row>
    <row r="61" spans="1:42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04" t="str">
        <f>A61</f>
        <v>Kompensation ÜZ</v>
      </c>
      <c r="AG61" s="217"/>
      <c r="AH61" s="237">
        <f>SUM(B61:AE61)</f>
        <v>0</v>
      </c>
      <c r="AI61" s="213"/>
      <c r="AJ61" s="208"/>
      <c r="AK61" s="208"/>
      <c r="AL61" s="208"/>
      <c r="AM61" s="207"/>
      <c r="AN61" s="208"/>
      <c r="AO61" s="208"/>
      <c r="AP61" s="118"/>
    </row>
    <row r="62" spans="1:42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5" t="s">
        <v>231</v>
      </c>
      <c r="AG62" s="266"/>
      <c r="AH62" s="237">
        <f ca="1">Monat.AnUeZ.Total-Monat.KomUeZ.Total</f>
        <v>0</v>
      </c>
      <c r="AI62" s="213"/>
      <c r="AJ62" s="255"/>
      <c r="AK62" s="255"/>
      <c r="AL62" s="208"/>
      <c r="AM62" s="255"/>
      <c r="AN62" s="255"/>
      <c r="AO62" s="255"/>
      <c r="AP62" s="162"/>
    </row>
    <row r="63" spans="1:42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11" t="s">
        <v>47</v>
      </c>
      <c r="AG63" s="217"/>
      <c r="AH63" s="237">
        <f ca="1">IF(T.50_Vetsuisse,0,IF(AND(AH62&gt;0,Monat.ÜZZSBerechtigt=INDEX(T.JaNein.Bereich,1,1)),ROUND(AH62*0.25*1440,0)/1440,0))</f>
        <v>0</v>
      </c>
      <c r="AI63" s="213"/>
      <c r="AJ63" s="208"/>
      <c r="AK63" s="255"/>
      <c r="AL63" s="208"/>
      <c r="AM63" s="255"/>
      <c r="AN63" s="255"/>
      <c r="AO63" s="255"/>
      <c r="AP63" s="118"/>
    </row>
    <row r="64" spans="1:42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11" t="s">
        <v>248</v>
      </c>
      <c r="AG64" s="45" t="s">
        <v>27</v>
      </c>
      <c r="AH64" s="46"/>
      <c r="AI64" s="268"/>
      <c r="AJ64" s="208"/>
      <c r="AK64" s="255"/>
      <c r="AL64" s="208"/>
      <c r="AM64" s="255"/>
      <c r="AN64" s="255"/>
      <c r="AO64" s="255"/>
      <c r="AP64" s="118"/>
    </row>
    <row r="65" spans="1:42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58" t="s">
        <v>72</v>
      </c>
      <c r="AG65" s="266"/>
      <c r="AH65" s="237">
        <f ca="1">IF(AG64="+",(AH62+AH63+AH64),(AH62+AH63-AH64))</f>
        <v>0</v>
      </c>
      <c r="AI65" s="259"/>
      <c r="AJ65" s="269"/>
      <c r="AK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L65" s="208"/>
      <c r="AM65" s="244">
        <f ca="1">AH65+AK65</f>
        <v>0</v>
      </c>
      <c r="AN65" s="244">
        <f ca="1">SUM(OFFSET(J.UeZ.Total,-12,0,MONTH(Monat.Tag1),1))</f>
        <v>0</v>
      </c>
      <c r="AO65" s="244">
        <f ca="1">J.UeZ.Total</f>
        <v>0</v>
      </c>
      <c r="AP65" s="162"/>
    </row>
    <row r="66" spans="1:42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0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0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0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0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0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0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0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0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1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211"/>
      <c r="AG66" s="187"/>
      <c r="AH66" s="212"/>
      <c r="AI66" s="213"/>
      <c r="AJ66" s="208"/>
      <c r="AK66" s="208"/>
      <c r="AL66" s="208"/>
      <c r="AM66" s="207"/>
      <c r="AN66" s="208"/>
      <c r="AO66" s="208"/>
      <c r="AP66" s="118"/>
    </row>
    <row r="67" spans="1:42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04" t="str">
        <f ca="1">A67 &amp; IFERROR(IF(SUMPRODUCT((B66:AE66=0)*(B67:AE67&gt;0))&gt;0," (!)",""),"")</f>
        <v>Kompensation AZ</v>
      </c>
      <c r="AG67" s="217"/>
      <c r="AH67" s="237">
        <f>SUM(B67:AE67)</f>
        <v>0</v>
      </c>
      <c r="AI67" s="259"/>
      <c r="AJ67" s="243">
        <f ca="1">OFFSET(EB.MKAStd.Knoten,MONTH(Monat.Tag1),0,1,1)</f>
        <v>0.4375</v>
      </c>
      <c r="AK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3.5</v>
      </c>
      <c r="AL67" s="208"/>
      <c r="AM67" s="244">
        <f ca="1">AJ67+AK67-Monat.KomAZ.Total</f>
        <v>3.9375</v>
      </c>
      <c r="AN67" s="244">
        <f ca="1">Jahresabrechnung!P12-SUM(OFFSET(Jahresabrechnung!P15,0,0,MONTH(Monat.Tag1),1))</f>
        <v>5.25</v>
      </c>
      <c r="AO67" s="244">
        <f ca="1">Jahresabrechnung!P28</f>
        <v>5.25</v>
      </c>
      <c r="AP67" s="118"/>
    </row>
    <row r="68" spans="1:42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204"/>
      <c r="AG68" s="187"/>
      <c r="AH68" s="212"/>
      <c r="AI68" s="213"/>
      <c r="AJ68" s="208"/>
      <c r="AK68" s="208"/>
      <c r="AL68" s="208"/>
      <c r="AM68" s="434">
        <f ca="1">IF(OFFSET(A68,0,DAY(EOMONTH(Monat.Tag1,0)))=0,0,1)</f>
        <v>1</v>
      </c>
      <c r="AN68" s="208"/>
      <c r="AO68" s="208"/>
      <c r="AP68" s="118"/>
    </row>
    <row r="69" spans="1:42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E69" ca="1" si="19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9"/>
        <v>0</v>
      </c>
      <c r="E69" s="271">
        <f t="shared" ca="1" si="19"/>
        <v>0</v>
      </c>
      <c r="F69" s="271">
        <f t="shared" ca="1" si="19"/>
        <v>0</v>
      </c>
      <c r="G69" s="271">
        <f t="shared" ca="1" si="19"/>
        <v>0</v>
      </c>
      <c r="H69" s="271">
        <f t="shared" ca="1" si="19"/>
        <v>0</v>
      </c>
      <c r="I69" s="271">
        <f t="shared" ca="1" si="19"/>
        <v>0</v>
      </c>
      <c r="J69" s="271">
        <f t="shared" ca="1" si="19"/>
        <v>0</v>
      </c>
      <c r="K69" s="271">
        <f t="shared" ca="1" si="19"/>
        <v>0</v>
      </c>
      <c r="L69" s="271">
        <f t="shared" ca="1" si="19"/>
        <v>0</v>
      </c>
      <c r="M69" s="271">
        <f t="shared" ca="1" si="19"/>
        <v>0</v>
      </c>
      <c r="N69" s="271">
        <f t="shared" ca="1" si="19"/>
        <v>0</v>
      </c>
      <c r="O69" s="271">
        <f t="shared" ca="1" si="19"/>
        <v>0</v>
      </c>
      <c r="P69" s="271">
        <f t="shared" ca="1" si="19"/>
        <v>0</v>
      </c>
      <c r="Q69" s="271">
        <f t="shared" ca="1" si="19"/>
        <v>0</v>
      </c>
      <c r="R69" s="271">
        <f t="shared" ca="1" si="19"/>
        <v>0</v>
      </c>
      <c r="S69" s="271">
        <f t="shared" ca="1" si="19"/>
        <v>0</v>
      </c>
      <c r="T69" s="271">
        <f t="shared" ca="1" si="19"/>
        <v>0</v>
      </c>
      <c r="U69" s="271">
        <f t="shared" ca="1" si="19"/>
        <v>0</v>
      </c>
      <c r="V69" s="271">
        <f t="shared" ca="1" si="19"/>
        <v>0</v>
      </c>
      <c r="W69" s="271">
        <f t="shared" ca="1" si="19"/>
        <v>0</v>
      </c>
      <c r="X69" s="271">
        <f t="shared" ca="1" si="19"/>
        <v>0</v>
      </c>
      <c r="Y69" s="271">
        <f t="shared" ca="1" si="19"/>
        <v>0</v>
      </c>
      <c r="Z69" s="271">
        <f t="shared" ca="1" si="19"/>
        <v>0</v>
      </c>
      <c r="AA69" s="271">
        <f t="shared" ca="1" si="19"/>
        <v>0</v>
      </c>
      <c r="AB69" s="271">
        <f t="shared" ca="1" si="19"/>
        <v>0</v>
      </c>
      <c r="AC69" s="271">
        <f t="shared" ca="1" si="19"/>
        <v>0</v>
      </c>
      <c r="AD69" s="271">
        <f t="shared" ca="1" si="19"/>
        <v>0</v>
      </c>
      <c r="AE69" s="271">
        <f t="shared" ca="1" si="19"/>
        <v>0</v>
      </c>
      <c r="AF69" s="204" t="str">
        <f>A69</f>
        <v>Zähler Nachtdienst</v>
      </c>
      <c r="AG69" s="272"/>
      <c r="AH69" s="273">
        <f ca="1">SUM(B69:AE69)</f>
        <v>0</v>
      </c>
      <c r="AI69" s="259"/>
      <c r="AJ69" s="223"/>
      <c r="AK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L69" s="208"/>
      <c r="AM69" s="275">
        <f ca="1">AK69+AH69</f>
        <v>0</v>
      </c>
      <c r="AN69" s="207"/>
      <c r="AO69" s="207"/>
      <c r="AP69" s="118"/>
    </row>
    <row r="70" spans="1:42" s="38" customFormat="1" ht="15" hidden="1" customHeight="1" x14ac:dyDescent="0.2">
      <c r="A70" s="211" t="s">
        <v>212</v>
      </c>
      <c r="B70" s="271">
        <f t="shared" ref="B70:AE70" ca="1" si="20">IF(DAY(B$10)=1,$AK$69,A70)+B69</f>
        <v>0</v>
      </c>
      <c r="C70" s="271">
        <f t="shared" ca="1" si="20"/>
        <v>0</v>
      </c>
      <c r="D70" s="271">
        <f t="shared" ca="1" si="20"/>
        <v>0</v>
      </c>
      <c r="E70" s="271">
        <f t="shared" ca="1" si="20"/>
        <v>0</v>
      </c>
      <c r="F70" s="271">
        <f t="shared" ca="1" si="20"/>
        <v>0</v>
      </c>
      <c r="G70" s="271">
        <f t="shared" ca="1" si="20"/>
        <v>0</v>
      </c>
      <c r="H70" s="271">
        <f t="shared" ca="1" si="20"/>
        <v>0</v>
      </c>
      <c r="I70" s="271">
        <f t="shared" ca="1" si="20"/>
        <v>0</v>
      </c>
      <c r="J70" s="271">
        <f t="shared" ca="1" si="20"/>
        <v>0</v>
      </c>
      <c r="K70" s="271">
        <f t="shared" ca="1" si="20"/>
        <v>0</v>
      </c>
      <c r="L70" s="271">
        <f t="shared" ca="1" si="20"/>
        <v>0</v>
      </c>
      <c r="M70" s="271">
        <f t="shared" ca="1" si="20"/>
        <v>0</v>
      </c>
      <c r="N70" s="271">
        <f t="shared" ca="1" si="20"/>
        <v>0</v>
      </c>
      <c r="O70" s="271">
        <f t="shared" ca="1" si="20"/>
        <v>0</v>
      </c>
      <c r="P70" s="271">
        <f t="shared" ca="1" si="20"/>
        <v>0</v>
      </c>
      <c r="Q70" s="271">
        <f t="shared" ca="1" si="20"/>
        <v>0</v>
      </c>
      <c r="R70" s="271">
        <f t="shared" ca="1" si="20"/>
        <v>0</v>
      </c>
      <c r="S70" s="271">
        <f t="shared" ca="1" si="20"/>
        <v>0</v>
      </c>
      <c r="T70" s="271">
        <f t="shared" ca="1" si="20"/>
        <v>0</v>
      </c>
      <c r="U70" s="271">
        <f t="shared" ca="1" si="20"/>
        <v>0</v>
      </c>
      <c r="V70" s="271">
        <f t="shared" ca="1" si="20"/>
        <v>0</v>
      </c>
      <c r="W70" s="271">
        <f t="shared" ca="1" si="20"/>
        <v>0</v>
      </c>
      <c r="X70" s="271">
        <f t="shared" ca="1" si="20"/>
        <v>0</v>
      </c>
      <c r="Y70" s="271">
        <f t="shared" ca="1" si="20"/>
        <v>0</v>
      </c>
      <c r="Z70" s="271">
        <f t="shared" ca="1" si="20"/>
        <v>0</v>
      </c>
      <c r="AA70" s="271">
        <f t="shared" ca="1" si="20"/>
        <v>0</v>
      </c>
      <c r="AB70" s="271">
        <f t="shared" ca="1" si="20"/>
        <v>0</v>
      </c>
      <c r="AC70" s="271">
        <f t="shared" ca="1" si="20"/>
        <v>0</v>
      </c>
      <c r="AD70" s="271">
        <f t="shared" ca="1" si="20"/>
        <v>0</v>
      </c>
      <c r="AE70" s="271">
        <f t="shared" ca="1" si="20"/>
        <v>0</v>
      </c>
      <c r="AF70" s="204" t="str">
        <f>A70</f>
        <v>Saldo Zähler Nachtdienst</v>
      </c>
      <c r="AG70" s="227"/>
      <c r="AH70" s="223"/>
      <c r="AI70" s="276"/>
      <c r="AJ70" s="260"/>
      <c r="AK70" s="260"/>
      <c r="AL70" s="208"/>
      <c r="AM70" s="277"/>
      <c r="AN70" s="207"/>
      <c r="AO70" s="207"/>
      <c r="AP70" s="118"/>
    </row>
    <row r="71" spans="1:42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204" t="str">
        <f>A71</f>
        <v>Kompensation ZZS Nachtdienst</v>
      </c>
      <c r="AG71" s="217"/>
      <c r="AH71" s="237">
        <f>SUM(B71:AE71)</f>
        <v>0</v>
      </c>
      <c r="AI71" s="259"/>
      <c r="AJ71" s="260"/>
      <c r="AK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L71" s="208"/>
      <c r="AM71" s="244">
        <f ca="1">AH71+AK71</f>
        <v>0</v>
      </c>
      <c r="AN71" s="244">
        <f ca="1">SUM(OFFSET(Jahr.KompZZSND,-12,0,MONTH(Monat.Tag1),1))</f>
        <v>0</v>
      </c>
      <c r="AO71" s="244">
        <f ca="1">Jahr.KompZZSND</f>
        <v>0</v>
      </c>
      <c r="AP71" s="118"/>
    </row>
    <row r="72" spans="1:42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204" t="str">
        <f>A72</f>
        <v>Start Gepl. Nachtdienst Ja/Nein</v>
      </c>
      <c r="AG72" s="217"/>
      <c r="AH72" s="223"/>
      <c r="AI72" s="228">
        <f ca="1">IFERROR(SUMPRODUCT((B72:AE72=INDEX(T.JaNein.Bereich,1))*(B72:AE72&lt;&gt;"")),0)</f>
        <v>0</v>
      </c>
      <c r="AJ72" s="260"/>
      <c r="AK72" s="228">
        <f ca="1">AK69</f>
        <v>0</v>
      </c>
      <c r="AL72" s="208"/>
      <c r="AM72" s="275">
        <f ca="1">AM69</f>
        <v>0</v>
      </c>
      <c r="AN72" s="208"/>
      <c r="AO72" s="208"/>
      <c r="AP72" s="118"/>
    </row>
    <row r="73" spans="1:42" s="38" customFormat="1" ht="15" customHeight="1" outlineLevel="1" x14ac:dyDescent="0.2">
      <c r="A73" s="211" t="s">
        <v>77</v>
      </c>
      <c r="B73" s="278">
        <f t="shared" ref="B73:AE73" ca="1" si="21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1"/>
        <v>0</v>
      </c>
      <c r="D73" s="278">
        <f t="shared" ca="1" si="21"/>
        <v>0</v>
      </c>
      <c r="E73" s="278">
        <f t="shared" ca="1" si="21"/>
        <v>0</v>
      </c>
      <c r="F73" s="278">
        <f t="shared" ca="1" si="21"/>
        <v>0</v>
      </c>
      <c r="G73" s="278">
        <f t="shared" ca="1" si="21"/>
        <v>0</v>
      </c>
      <c r="H73" s="278">
        <f t="shared" ca="1" si="21"/>
        <v>0</v>
      </c>
      <c r="I73" s="278">
        <f t="shared" ca="1" si="21"/>
        <v>0</v>
      </c>
      <c r="J73" s="278">
        <f t="shared" ca="1" si="21"/>
        <v>0</v>
      </c>
      <c r="K73" s="278">
        <f t="shared" ca="1" si="21"/>
        <v>0</v>
      </c>
      <c r="L73" s="278">
        <f t="shared" ca="1" si="21"/>
        <v>0</v>
      </c>
      <c r="M73" s="278">
        <f t="shared" ca="1" si="21"/>
        <v>0</v>
      </c>
      <c r="N73" s="278">
        <f t="shared" ca="1" si="21"/>
        <v>0</v>
      </c>
      <c r="O73" s="278">
        <f t="shared" ca="1" si="21"/>
        <v>0</v>
      </c>
      <c r="P73" s="278">
        <f t="shared" ca="1" si="21"/>
        <v>0</v>
      </c>
      <c r="Q73" s="278">
        <f t="shared" ca="1" si="21"/>
        <v>0</v>
      </c>
      <c r="R73" s="278">
        <f t="shared" ca="1" si="21"/>
        <v>0</v>
      </c>
      <c r="S73" s="278">
        <f t="shared" ca="1" si="21"/>
        <v>0</v>
      </c>
      <c r="T73" s="278">
        <f t="shared" ca="1" si="21"/>
        <v>0</v>
      </c>
      <c r="U73" s="278">
        <f t="shared" ca="1" si="21"/>
        <v>0</v>
      </c>
      <c r="V73" s="278">
        <f t="shared" ca="1" si="21"/>
        <v>0</v>
      </c>
      <c r="W73" s="278">
        <f t="shared" ca="1" si="21"/>
        <v>0</v>
      </c>
      <c r="X73" s="278">
        <f t="shared" ca="1" si="21"/>
        <v>0</v>
      </c>
      <c r="Y73" s="278">
        <f t="shared" ca="1" si="21"/>
        <v>0</v>
      </c>
      <c r="Z73" s="278">
        <f t="shared" ca="1" si="21"/>
        <v>0</v>
      </c>
      <c r="AA73" s="278">
        <f t="shared" ca="1" si="21"/>
        <v>0</v>
      </c>
      <c r="AB73" s="278">
        <f t="shared" ca="1" si="21"/>
        <v>0</v>
      </c>
      <c r="AC73" s="278">
        <f t="shared" ca="1" si="21"/>
        <v>0</v>
      </c>
      <c r="AD73" s="278">
        <f t="shared" ca="1" si="21"/>
        <v>0</v>
      </c>
      <c r="AE73" s="278">
        <f t="shared" ca="1" si="21"/>
        <v>0</v>
      </c>
      <c r="AF73" s="204" t="str">
        <f>A73</f>
        <v>Nachtdienst</v>
      </c>
      <c r="AG73" s="227"/>
      <c r="AH73" s="237">
        <f ca="1">SUM(B73:AE73)</f>
        <v>0</v>
      </c>
      <c r="AI73" s="228">
        <f ca="1">IF(OR(T.50_Vetsuisse,T.ServiceCenterIrchel),AH69,
IFERROR(SUMPRODUCT((B77:AE77&gt;0)*(B77:AE77&lt;&gt;"")),0))</f>
        <v>0</v>
      </c>
      <c r="AJ73" s="223"/>
      <c r="AK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L73" s="208"/>
      <c r="AM73" s="244">
        <f ca="1">AH73+AK73</f>
        <v>0</v>
      </c>
      <c r="AN73" s="207"/>
      <c r="AO73" s="207"/>
      <c r="AP73" s="118"/>
    </row>
    <row r="74" spans="1:42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04"/>
      <c r="AG74" s="187"/>
      <c r="AH74" s="212"/>
      <c r="AI74" s="213"/>
      <c r="AJ74" s="208"/>
      <c r="AK74" s="208"/>
      <c r="AL74" s="208"/>
      <c r="AM74" s="207"/>
      <c r="AN74" s="208"/>
      <c r="AO74" s="208"/>
      <c r="AP74" s="118"/>
    </row>
    <row r="75" spans="1:42" s="38" customFormat="1" ht="16.5" hidden="1" customHeight="1" outlineLevel="1" x14ac:dyDescent="0.2">
      <c r="A75" s="214" t="s">
        <v>245</v>
      </c>
      <c r="B75" s="215">
        <f t="shared" ref="B75:AE75" ca="1" si="22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2"/>
        <v>0</v>
      </c>
      <c r="D75" s="215">
        <f t="shared" ca="1" si="22"/>
        <v>0</v>
      </c>
      <c r="E75" s="215">
        <f t="shared" ca="1" si="22"/>
        <v>0</v>
      </c>
      <c r="F75" s="215">
        <f t="shared" ca="1" si="22"/>
        <v>0</v>
      </c>
      <c r="G75" s="215">
        <f t="shared" ca="1" si="22"/>
        <v>0</v>
      </c>
      <c r="H75" s="215">
        <f t="shared" ca="1" si="22"/>
        <v>0</v>
      </c>
      <c r="I75" s="215">
        <f t="shared" ca="1" si="22"/>
        <v>0</v>
      </c>
      <c r="J75" s="215">
        <f t="shared" ca="1" si="22"/>
        <v>0</v>
      </c>
      <c r="K75" s="215">
        <f t="shared" ca="1" si="22"/>
        <v>0</v>
      </c>
      <c r="L75" s="215">
        <f t="shared" ca="1" si="22"/>
        <v>0</v>
      </c>
      <c r="M75" s="215">
        <f t="shared" ca="1" si="22"/>
        <v>0</v>
      </c>
      <c r="N75" s="215">
        <f t="shared" ca="1" si="22"/>
        <v>0</v>
      </c>
      <c r="O75" s="215">
        <f t="shared" ca="1" si="22"/>
        <v>0</v>
      </c>
      <c r="P75" s="215">
        <f t="shared" ca="1" si="22"/>
        <v>0</v>
      </c>
      <c r="Q75" s="215">
        <f t="shared" ca="1" si="22"/>
        <v>0</v>
      </c>
      <c r="R75" s="215">
        <f t="shared" ca="1" si="22"/>
        <v>0</v>
      </c>
      <c r="S75" s="215">
        <f t="shared" ca="1" si="22"/>
        <v>0</v>
      </c>
      <c r="T75" s="215">
        <f t="shared" ca="1" si="22"/>
        <v>0</v>
      </c>
      <c r="U75" s="215">
        <f t="shared" ca="1" si="22"/>
        <v>0</v>
      </c>
      <c r="V75" s="215">
        <f t="shared" ca="1" si="22"/>
        <v>0</v>
      </c>
      <c r="W75" s="215">
        <f t="shared" ca="1" si="22"/>
        <v>0</v>
      </c>
      <c r="X75" s="215">
        <f t="shared" ca="1" si="22"/>
        <v>0</v>
      </c>
      <c r="Y75" s="215">
        <f t="shared" ca="1" si="22"/>
        <v>0</v>
      </c>
      <c r="Z75" s="215">
        <f t="shared" ca="1" si="22"/>
        <v>0</v>
      </c>
      <c r="AA75" s="215">
        <f t="shared" ca="1" si="22"/>
        <v>0</v>
      </c>
      <c r="AB75" s="215">
        <f t="shared" ca="1" si="22"/>
        <v>0</v>
      </c>
      <c r="AC75" s="215">
        <f t="shared" ca="1" si="22"/>
        <v>0</v>
      </c>
      <c r="AD75" s="215">
        <f t="shared" ca="1" si="22"/>
        <v>0</v>
      </c>
      <c r="AE75" s="215">
        <f t="shared" ca="1" si="22"/>
        <v>0</v>
      </c>
      <c r="AF75" s="216" t="str">
        <f>A75</f>
        <v>Total ND Stunden heute</v>
      </c>
      <c r="AG75" s="187"/>
      <c r="AH75" s="212"/>
      <c r="AI75" s="213"/>
      <c r="AJ75" s="208"/>
      <c r="AK75" s="208"/>
      <c r="AL75" s="208"/>
      <c r="AM75" s="207"/>
      <c r="AN75" s="208"/>
      <c r="AO75" s="208"/>
      <c r="AP75" s="118"/>
    </row>
    <row r="76" spans="1:42" s="38" customFormat="1" ht="16.5" hidden="1" customHeight="1" outlineLevel="1" x14ac:dyDescent="0.2">
      <c r="A76" s="214" t="s">
        <v>246</v>
      </c>
      <c r="B76" s="224">
        <f t="shared" ref="B76:AE76" ca="1" si="23">B73-B75</f>
        <v>0</v>
      </c>
      <c r="C76" s="224">
        <f t="shared" ca="1" si="23"/>
        <v>0</v>
      </c>
      <c r="D76" s="224">
        <f t="shared" ca="1" si="23"/>
        <v>0</v>
      </c>
      <c r="E76" s="224">
        <f t="shared" ca="1" si="23"/>
        <v>0</v>
      </c>
      <c r="F76" s="224">
        <f t="shared" ca="1" si="23"/>
        <v>0</v>
      </c>
      <c r="G76" s="224">
        <f t="shared" ca="1" si="23"/>
        <v>0</v>
      </c>
      <c r="H76" s="224">
        <f t="shared" ca="1" si="23"/>
        <v>0</v>
      </c>
      <c r="I76" s="224">
        <f t="shared" ca="1" si="23"/>
        <v>0</v>
      </c>
      <c r="J76" s="224">
        <f t="shared" ca="1" si="23"/>
        <v>0</v>
      </c>
      <c r="K76" s="224">
        <f t="shared" ca="1" si="23"/>
        <v>0</v>
      </c>
      <c r="L76" s="224">
        <f t="shared" ca="1" si="23"/>
        <v>0</v>
      </c>
      <c r="M76" s="224">
        <f t="shared" ca="1" si="23"/>
        <v>0</v>
      </c>
      <c r="N76" s="224">
        <f t="shared" ca="1" si="23"/>
        <v>0</v>
      </c>
      <c r="O76" s="224">
        <f t="shared" ca="1" si="23"/>
        <v>0</v>
      </c>
      <c r="P76" s="224">
        <f t="shared" ca="1" si="23"/>
        <v>0</v>
      </c>
      <c r="Q76" s="224">
        <f t="shared" ca="1" si="23"/>
        <v>0</v>
      </c>
      <c r="R76" s="224">
        <f t="shared" ca="1" si="23"/>
        <v>0</v>
      </c>
      <c r="S76" s="224">
        <f t="shared" ca="1" si="23"/>
        <v>0</v>
      </c>
      <c r="T76" s="224">
        <f t="shared" ca="1" si="23"/>
        <v>0</v>
      </c>
      <c r="U76" s="224">
        <f t="shared" ca="1" si="23"/>
        <v>0</v>
      </c>
      <c r="V76" s="224">
        <f t="shared" ca="1" si="23"/>
        <v>0</v>
      </c>
      <c r="W76" s="224">
        <f t="shared" ca="1" si="23"/>
        <v>0</v>
      </c>
      <c r="X76" s="224">
        <f t="shared" ca="1" si="23"/>
        <v>0</v>
      </c>
      <c r="Y76" s="224">
        <f t="shared" ca="1" si="23"/>
        <v>0</v>
      </c>
      <c r="Z76" s="224">
        <f t="shared" ca="1" si="23"/>
        <v>0</v>
      </c>
      <c r="AA76" s="224">
        <f t="shared" ca="1" si="23"/>
        <v>0</v>
      </c>
      <c r="AB76" s="224">
        <f t="shared" ca="1" si="23"/>
        <v>0</v>
      </c>
      <c r="AC76" s="224">
        <f t="shared" ca="1" si="23"/>
        <v>0</v>
      </c>
      <c r="AD76" s="224">
        <f t="shared" ca="1" si="23"/>
        <v>0</v>
      </c>
      <c r="AE76" s="224">
        <f t="shared" ca="1" si="23"/>
        <v>0</v>
      </c>
      <c r="AF76" s="216" t="str">
        <f>A76</f>
        <v>Total ND Stunden gestern</v>
      </c>
      <c r="AG76" s="187"/>
      <c r="AH76" s="212"/>
      <c r="AI76" s="213"/>
      <c r="AJ76" s="208"/>
      <c r="AK76" s="208"/>
      <c r="AL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M76" s="207"/>
      <c r="AN76" s="208"/>
      <c r="AO76" s="208"/>
      <c r="AP76" s="118"/>
    </row>
    <row r="77" spans="1:42" s="38" customFormat="1" ht="16.5" hidden="1" customHeight="1" outlineLevel="1" x14ac:dyDescent="0.2">
      <c r="A77" s="214" t="s">
        <v>247</v>
      </c>
      <c r="B77" s="215">
        <f t="shared" ref="B77:AE77" ca="1" si="24">B75+IF(B$10=EOMONTH(B$10,0),$AL76,OFFSET(B76,0,1))</f>
        <v>0</v>
      </c>
      <c r="C77" s="215">
        <f t="shared" ca="1" si="24"/>
        <v>0</v>
      </c>
      <c r="D77" s="215">
        <f t="shared" ca="1" si="24"/>
        <v>0</v>
      </c>
      <c r="E77" s="215">
        <f t="shared" ca="1" si="24"/>
        <v>0</v>
      </c>
      <c r="F77" s="215">
        <f t="shared" ca="1" si="24"/>
        <v>0</v>
      </c>
      <c r="G77" s="215">
        <f t="shared" ca="1" si="24"/>
        <v>0</v>
      </c>
      <c r="H77" s="215">
        <f t="shared" ca="1" si="24"/>
        <v>0</v>
      </c>
      <c r="I77" s="215">
        <f t="shared" ca="1" si="24"/>
        <v>0</v>
      </c>
      <c r="J77" s="215">
        <f t="shared" ca="1" si="24"/>
        <v>0</v>
      </c>
      <c r="K77" s="215">
        <f t="shared" ca="1" si="24"/>
        <v>0</v>
      </c>
      <c r="L77" s="215">
        <f t="shared" ca="1" si="24"/>
        <v>0</v>
      </c>
      <c r="M77" s="215">
        <f t="shared" ca="1" si="24"/>
        <v>0</v>
      </c>
      <c r="N77" s="215">
        <f t="shared" ca="1" si="24"/>
        <v>0</v>
      </c>
      <c r="O77" s="215">
        <f t="shared" ca="1" si="24"/>
        <v>0</v>
      </c>
      <c r="P77" s="215">
        <f t="shared" ca="1" si="24"/>
        <v>0</v>
      </c>
      <c r="Q77" s="215">
        <f t="shared" ca="1" si="24"/>
        <v>0</v>
      </c>
      <c r="R77" s="215">
        <f t="shared" ca="1" si="24"/>
        <v>0</v>
      </c>
      <c r="S77" s="215">
        <f t="shared" ca="1" si="24"/>
        <v>0</v>
      </c>
      <c r="T77" s="215">
        <f t="shared" ca="1" si="24"/>
        <v>0</v>
      </c>
      <c r="U77" s="215">
        <f t="shared" ca="1" si="24"/>
        <v>0</v>
      </c>
      <c r="V77" s="215">
        <f t="shared" ca="1" si="24"/>
        <v>0</v>
      </c>
      <c r="W77" s="215">
        <f t="shared" ca="1" si="24"/>
        <v>0</v>
      </c>
      <c r="X77" s="215">
        <f t="shared" ca="1" si="24"/>
        <v>0</v>
      </c>
      <c r="Y77" s="215">
        <f t="shared" ca="1" si="24"/>
        <v>0</v>
      </c>
      <c r="Z77" s="215">
        <f t="shared" ca="1" si="24"/>
        <v>0</v>
      </c>
      <c r="AA77" s="215">
        <f t="shared" ca="1" si="24"/>
        <v>0</v>
      </c>
      <c r="AB77" s="215">
        <f t="shared" ca="1" si="24"/>
        <v>0</v>
      </c>
      <c r="AC77" s="215">
        <f t="shared" ca="1" si="24"/>
        <v>0</v>
      </c>
      <c r="AD77" s="215">
        <f t="shared" ca="1" si="24"/>
        <v>0</v>
      </c>
      <c r="AE77" s="215">
        <f t="shared" ca="1" si="24"/>
        <v>0</v>
      </c>
      <c r="AF77" s="216" t="str">
        <f>A77</f>
        <v>Total ND Stunden</v>
      </c>
      <c r="AG77" s="217"/>
      <c r="AH77" s="218">
        <f ca="1">SUM(B77:AE77)</f>
        <v>0</v>
      </c>
      <c r="AI77" s="213"/>
      <c r="AJ77" s="208"/>
      <c r="AK77" s="208"/>
      <c r="AL77" s="208"/>
      <c r="AM77" s="207"/>
      <c r="AN77" s="208"/>
      <c r="AO77" s="208"/>
      <c r="AP77" s="118"/>
    </row>
    <row r="78" spans="1:42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04"/>
      <c r="AG78" s="232"/>
      <c r="AH78" s="221"/>
      <c r="AI78" s="213"/>
      <c r="AJ78" s="208"/>
      <c r="AK78" s="208"/>
      <c r="AL78" s="208"/>
      <c r="AM78" s="207"/>
      <c r="AN78" s="208"/>
      <c r="AO78" s="208"/>
      <c r="AP78" s="118"/>
    </row>
    <row r="79" spans="1:42" s="38" customFormat="1" ht="15" customHeight="1" outlineLevel="1" x14ac:dyDescent="0.2">
      <c r="A79" s="211" t="s">
        <v>194</v>
      </c>
      <c r="B79" s="278">
        <f t="shared" ref="B79:AE79" ca="1" si="25">IF(AND(T.50_Vetsuisse,B70&gt;24),ROUND(B73*T.50_VetsuisseZZSND*1440,0)/1440,
IF(AND(T.ServiceCenterIrchel,B69&gt;0,B77&gt;=ROUND(1/24*8*1440,0)/1440),ROUND(B77*T.ServiceCenterIrchelZZSND*1440,0)/1440,
IF(AND(T.MedizinischeMikrobiologie,B69&gt;0,B77+IF(B$10=EOMONTH(B$10,0),$AL81,OFFSET(B81,0,1))&gt;=ROUND(1/24*8*1440,0)/1440),ROUND(B77*T.MedizinischeMikrobiologieZZSND*1440,0)/1440,)))</f>
        <v>0</v>
      </c>
      <c r="C79" s="278">
        <f t="shared" ca="1" si="25"/>
        <v>0</v>
      </c>
      <c r="D79" s="278">
        <f t="shared" ca="1" si="25"/>
        <v>0</v>
      </c>
      <c r="E79" s="278">
        <f t="shared" ca="1" si="25"/>
        <v>0</v>
      </c>
      <c r="F79" s="278">
        <f t="shared" ca="1" si="25"/>
        <v>0</v>
      </c>
      <c r="G79" s="278">
        <f t="shared" ca="1" si="25"/>
        <v>0</v>
      </c>
      <c r="H79" s="278">
        <f t="shared" ca="1" si="25"/>
        <v>0</v>
      </c>
      <c r="I79" s="278">
        <f t="shared" ca="1" si="25"/>
        <v>0</v>
      </c>
      <c r="J79" s="278">
        <f t="shared" ca="1" si="25"/>
        <v>0</v>
      </c>
      <c r="K79" s="278">
        <f t="shared" ca="1" si="25"/>
        <v>0</v>
      </c>
      <c r="L79" s="278">
        <f t="shared" ca="1" si="25"/>
        <v>0</v>
      </c>
      <c r="M79" s="278">
        <f t="shared" ca="1" si="25"/>
        <v>0</v>
      </c>
      <c r="N79" s="278">
        <f t="shared" ca="1" si="25"/>
        <v>0</v>
      </c>
      <c r="O79" s="278">
        <f t="shared" ca="1" si="25"/>
        <v>0</v>
      </c>
      <c r="P79" s="278">
        <f t="shared" ca="1" si="25"/>
        <v>0</v>
      </c>
      <c r="Q79" s="278">
        <f t="shared" ca="1" si="25"/>
        <v>0</v>
      </c>
      <c r="R79" s="278">
        <f t="shared" ca="1" si="25"/>
        <v>0</v>
      </c>
      <c r="S79" s="278">
        <f t="shared" ca="1" si="25"/>
        <v>0</v>
      </c>
      <c r="T79" s="278">
        <f t="shared" ca="1" si="25"/>
        <v>0</v>
      </c>
      <c r="U79" s="278">
        <f t="shared" ca="1" si="25"/>
        <v>0</v>
      </c>
      <c r="V79" s="278">
        <f t="shared" ca="1" si="25"/>
        <v>0</v>
      </c>
      <c r="W79" s="278">
        <f t="shared" ca="1" si="25"/>
        <v>0</v>
      </c>
      <c r="X79" s="278">
        <f t="shared" ca="1" si="25"/>
        <v>0</v>
      </c>
      <c r="Y79" s="278">
        <f t="shared" ca="1" si="25"/>
        <v>0</v>
      </c>
      <c r="Z79" s="278">
        <f t="shared" ca="1" si="25"/>
        <v>0</v>
      </c>
      <c r="AA79" s="278">
        <f t="shared" ca="1" si="25"/>
        <v>0</v>
      </c>
      <c r="AB79" s="278">
        <f t="shared" ca="1" si="25"/>
        <v>0</v>
      </c>
      <c r="AC79" s="278">
        <f t="shared" ca="1" si="25"/>
        <v>0</v>
      </c>
      <c r="AD79" s="278">
        <f t="shared" ca="1" si="25"/>
        <v>0</v>
      </c>
      <c r="AE79" s="278">
        <f t="shared" ca="1" si="25"/>
        <v>0</v>
      </c>
      <c r="AF79" s="204" t="str">
        <f>A79</f>
        <v>Zeitzuschlag Nachtdienst</v>
      </c>
      <c r="AG79" s="272"/>
      <c r="AH79" s="237">
        <f ca="1">SUM(B79:AE79)</f>
        <v>0</v>
      </c>
      <c r="AI79" s="259"/>
      <c r="AJ79" s="223"/>
      <c r="AK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L79" s="208"/>
      <c r="AM79" s="244">
        <f ca="1">AH79+AK79-AH71</f>
        <v>0</v>
      </c>
      <c r="AN79" s="244">
        <f ca="1">OFFSET(Jahr.ZZSNDSaldo,-13+MONTH(Monat.Tag1),0,1,1)</f>
        <v>0</v>
      </c>
      <c r="AO79" s="244">
        <f ca="1">Jahr.ZZSNDSaldo</f>
        <v>0</v>
      </c>
      <c r="AP79" s="118"/>
    </row>
    <row r="80" spans="1:42" s="38" customFormat="1" ht="15" customHeight="1" outlineLevel="1" x14ac:dyDescent="0.2">
      <c r="A80" s="211" t="s">
        <v>196</v>
      </c>
      <c r="B80" s="278" t="str">
        <f t="shared" ref="B80:AE80" si="26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6"/>
        <v/>
      </c>
      <c r="D80" s="278" t="str">
        <f t="shared" si="26"/>
        <v/>
      </c>
      <c r="E80" s="278" t="str">
        <f t="shared" si="26"/>
        <v/>
      </c>
      <c r="F80" s="278" t="str">
        <f t="shared" si="26"/>
        <v/>
      </c>
      <c r="G80" s="278" t="str">
        <f t="shared" si="26"/>
        <v/>
      </c>
      <c r="H80" s="278" t="str">
        <f t="shared" si="26"/>
        <v/>
      </c>
      <c r="I80" s="278" t="str">
        <f t="shared" si="26"/>
        <v/>
      </c>
      <c r="J80" s="278" t="str">
        <f t="shared" si="26"/>
        <v/>
      </c>
      <c r="K80" s="278" t="str">
        <f t="shared" si="26"/>
        <v/>
      </c>
      <c r="L80" s="278" t="str">
        <f t="shared" si="26"/>
        <v/>
      </c>
      <c r="M80" s="278" t="str">
        <f t="shared" si="26"/>
        <v/>
      </c>
      <c r="N80" s="278" t="str">
        <f t="shared" si="26"/>
        <v/>
      </c>
      <c r="O80" s="278" t="str">
        <f t="shared" si="26"/>
        <v/>
      </c>
      <c r="P80" s="278" t="str">
        <f t="shared" si="26"/>
        <v/>
      </c>
      <c r="Q80" s="278" t="str">
        <f t="shared" si="26"/>
        <v/>
      </c>
      <c r="R80" s="278" t="str">
        <f t="shared" si="26"/>
        <v/>
      </c>
      <c r="S80" s="278" t="str">
        <f t="shared" si="26"/>
        <v/>
      </c>
      <c r="T80" s="278" t="str">
        <f t="shared" si="26"/>
        <v/>
      </c>
      <c r="U80" s="278" t="str">
        <f t="shared" si="26"/>
        <v/>
      </c>
      <c r="V80" s="278" t="str">
        <f t="shared" si="26"/>
        <v/>
      </c>
      <c r="W80" s="278" t="str">
        <f t="shared" si="26"/>
        <v/>
      </c>
      <c r="X80" s="278" t="str">
        <f t="shared" si="26"/>
        <v/>
      </c>
      <c r="Y80" s="278" t="str">
        <f t="shared" si="26"/>
        <v/>
      </c>
      <c r="Z80" s="278" t="str">
        <f t="shared" si="26"/>
        <v/>
      </c>
      <c r="AA80" s="278" t="str">
        <f t="shared" si="26"/>
        <v/>
      </c>
      <c r="AB80" s="278" t="str">
        <f t="shared" si="26"/>
        <v/>
      </c>
      <c r="AC80" s="278" t="str">
        <f t="shared" si="26"/>
        <v/>
      </c>
      <c r="AD80" s="278" t="str">
        <f t="shared" si="26"/>
        <v/>
      </c>
      <c r="AE80" s="278" t="str">
        <f t="shared" si="26"/>
        <v/>
      </c>
      <c r="AF80" s="204" t="str">
        <f>A80</f>
        <v>Abendarbeit</v>
      </c>
      <c r="AG80" s="272"/>
      <c r="AH80" s="237">
        <f>SUM(B80:AE80)</f>
        <v>0</v>
      </c>
      <c r="AI80" s="259"/>
      <c r="AJ80" s="223"/>
      <c r="AK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L80" s="208"/>
      <c r="AM80" s="244">
        <f ca="1">AH80+AK80</f>
        <v>0</v>
      </c>
      <c r="AN80" s="207"/>
      <c r="AO80" s="207"/>
      <c r="AP80" s="118"/>
    </row>
    <row r="81" spans="1:42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04" t="str">
        <f>A81</f>
        <v>Bereitschaftsdienst</v>
      </c>
      <c r="AG81" s="272"/>
      <c r="AH81" s="237">
        <f ca="1">SUM(B81:AE81)</f>
        <v>0</v>
      </c>
      <c r="AI81" s="259"/>
      <c r="AJ81" s="223"/>
      <c r="AK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L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M81" s="244">
        <f ca="1">AH81+AK81</f>
        <v>0</v>
      </c>
      <c r="AN81" s="207"/>
      <c r="AO81" s="207"/>
      <c r="AP81" s="118"/>
    </row>
    <row r="82" spans="1:42" s="38" customFormat="1" ht="15" customHeight="1" outlineLevel="1" x14ac:dyDescent="0.2">
      <c r="A82" s="211" t="s">
        <v>79</v>
      </c>
      <c r="B82" s="278">
        <f t="shared" ref="B82:AE82" ca="1" si="27">IF(B$12=0,"",IF(OR(WEEKDAY(B$10,2)&gt;5,B$11=0),
IF(T.50_NoVetsuisse,B45,
IF(OR(T.50_Vetsuisse,T.ServiceCenterIrchel,T.MedizinischeMikrobiologie),IF(B23-B73=0,"",B23-B73),
B60)),))</f>
        <v>0</v>
      </c>
      <c r="C82" s="278">
        <f t="shared" ca="1" si="27"/>
        <v>0</v>
      </c>
      <c r="D82" s="279" t="str">
        <f t="shared" ca="1" si="27"/>
        <v/>
      </c>
      <c r="E82" s="278" t="str">
        <f t="shared" ca="1" si="27"/>
        <v/>
      </c>
      <c r="F82" s="279">
        <f t="shared" ca="1" si="27"/>
        <v>0</v>
      </c>
      <c r="G82" s="279">
        <f t="shared" ca="1" si="27"/>
        <v>0</v>
      </c>
      <c r="H82" s="279">
        <f t="shared" ca="1" si="27"/>
        <v>0</v>
      </c>
      <c r="I82" s="279">
        <f t="shared" ca="1" si="27"/>
        <v>0</v>
      </c>
      <c r="J82" s="278">
        <f t="shared" ca="1" si="27"/>
        <v>0</v>
      </c>
      <c r="K82" s="279" t="str">
        <f t="shared" ca="1" si="27"/>
        <v/>
      </c>
      <c r="L82" s="278" t="str">
        <f t="shared" ca="1" si="27"/>
        <v/>
      </c>
      <c r="M82" s="279">
        <f t="shared" ca="1" si="27"/>
        <v>0</v>
      </c>
      <c r="N82" s="279">
        <f t="shared" ca="1" si="27"/>
        <v>0</v>
      </c>
      <c r="O82" s="279">
        <f t="shared" ca="1" si="27"/>
        <v>0</v>
      </c>
      <c r="P82" s="279">
        <f t="shared" ca="1" si="27"/>
        <v>0</v>
      </c>
      <c r="Q82" s="278">
        <f t="shared" ca="1" si="27"/>
        <v>0</v>
      </c>
      <c r="R82" s="279" t="str">
        <f t="shared" ca="1" si="27"/>
        <v/>
      </c>
      <c r="S82" s="278" t="str">
        <f t="shared" ca="1" si="27"/>
        <v/>
      </c>
      <c r="T82" s="278">
        <f t="shared" ca="1" si="27"/>
        <v>0</v>
      </c>
      <c r="U82" s="279">
        <f t="shared" ca="1" si="27"/>
        <v>0</v>
      </c>
      <c r="V82" s="279">
        <f t="shared" ca="1" si="27"/>
        <v>0</v>
      </c>
      <c r="W82" s="279">
        <f t="shared" ca="1" si="27"/>
        <v>0</v>
      </c>
      <c r="X82" s="278">
        <f t="shared" ca="1" si="27"/>
        <v>0</v>
      </c>
      <c r="Y82" s="279" t="str">
        <f t="shared" ca="1" si="27"/>
        <v/>
      </c>
      <c r="Z82" s="280" t="str">
        <f t="shared" ca="1" si="27"/>
        <v/>
      </c>
      <c r="AA82" s="279">
        <f t="shared" ca="1" si="27"/>
        <v>0</v>
      </c>
      <c r="AB82" s="279">
        <f t="shared" ca="1" si="27"/>
        <v>0</v>
      </c>
      <c r="AC82" s="279">
        <f t="shared" ca="1" si="27"/>
        <v>0</v>
      </c>
      <c r="AD82" s="279">
        <f t="shared" ca="1" si="27"/>
        <v>0</v>
      </c>
      <c r="AE82" s="278">
        <f t="shared" ca="1" si="27"/>
        <v>0</v>
      </c>
      <c r="AF82" s="204" t="str">
        <f>A82</f>
        <v>Samstag-/Sonntagdienst</v>
      </c>
      <c r="AG82" s="227"/>
      <c r="AH82" s="237">
        <f ca="1">SUM(B82:AE82)</f>
        <v>0</v>
      </c>
      <c r="AI82" s="228">
        <f ca="1">IFERROR(SUMPRODUCT((B82:AE82&gt;0)*(B82:AE82&lt;&gt;"")),0)</f>
        <v>0</v>
      </c>
      <c r="AJ82" s="223"/>
      <c r="AK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L82" s="208"/>
      <c r="AM82" s="244">
        <f ca="1">AH82+AK82</f>
        <v>0</v>
      </c>
      <c r="AN82" s="207"/>
      <c r="AO82" s="207"/>
      <c r="AP82" s="118"/>
    </row>
    <row r="83" spans="1:42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04"/>
      <c r="AG83" s="227"/>
      <c r="AH83" s="223"/>
      <c r="AI83" s="276"/>
      <c r="AJ83" s="260"/>
      <c r="AK83" s="260"/>
      <c r="AL83" s="208"/>
      <c r="AM83" s="277"/>
      <c r="AN83" s="281"/>
      <c r="AO83" s="281"/>
      <c r="AP83" s="118"/>
    </row>
    <row r="84" spans="1:42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204" t="str">
        <f>A84 &amp; IFERROR(IF(AND(MONTH(Monat.Tag1)=6,EB.Jahr&gt;2020),IF(SUM(Jahresabrechnung!AC15:AC20)&lt;EB.FerienBer,IF(EB.Sprache="EN"," (Balance PY "," (Saldo VJ ") &amp; " &gt; 0!)",""),""),"")</f>
        <v>Ferien</v>
      </c>
      <c r="AG84" s="217"/>
      <c r="AH84" s="237">
        <f>SUM(B84:AE84)</f>
        <v>0</v>
      </c>
      <c r="AI84" s="259"/>
      <c r="AJ84" s="243">
        <f ca="1">OFFSET(EB.MFAStd.Knoten,MONTH(Monat.Tag1),0,1,1)</f>
        <v>0</v>
      </c>
      <c r="AK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L84" s="208"/>
      <c r="AM84" s="244">
        <f ca="1">ROUND(IF(AG85="+",(AJ84+AK84-Monat.Ferien.Total+AH85),(AJ84+AK84-Monat.Ferien.Total-AH85))*1440,0)/1440</f>
        <v>0</v>
      </c>
      <c r="AN84" s="244">
        <f ca="1">SUM(Jahresabrechnung!AC12:AC13)-SUM(OFFSET(Jahresabrechnung!AC15,0,0,MONTH(Monat.Tag1),1))</f>
        <v>0</v>
      </c>
      <c r="AO84" s="244">
        <f ca="1">J.FerienUE.Total</f>
        <v>0</v>
      </c>
      <c r="AP84" s="118"/>
    </row>
    <row r="85" spans="1:42" s="38" customFormat="1" ht="15" customHeight="1" x14ac:dyDescent="0.2">
      <c r="A85" s="219"/>
      <c r="B85" s="435">
        <f t="shared" ref="B85:AE85" ca="1" si="28">IF(DAY(B$10)=1,Monat.Ferien.JS+Monat.Ferien.Total-B84,A85-B84)</f>
        <v>0</v>
      </c>
      <c r="C85" s="435">
        <f t="shared" ca="1" si="28"/>
        <v>0</v>
      </c>
      <c r="D85" s="435">
        <f t="shared" ca="1" si="28"/>
        <v>0</v>
      </c>
      <c r="E85" s="435">
        <f t="shared" ca="1" si="28"/>
        <v>0</v>
      </c>
      <c r="F85" s="435">
        <f t="shared" ca="1" si="28"/>
        <v>0</v>
      </c>
      <c r="G85" s="435">
        <f t="shared" ca="1" si="28"/>
        <v>0</v>
      </c>
      <c r="H85" s="435">
        <f t="shared" ca="1" si="28"/>
        <v>0</v>
      </c>
      <c r="I85" s="435">
        <f t="shared" ca="1" si="28"/>
        <v>0</v>
      </c>
      <c r="J85" s="435">
        <f t="shared" ca="1" si="28"/>
        <v>0</v>
      </c>
      <c r="K85" s="435">
        <f t="shared" ca="1" si="28"/>
        <v>0</v>
      </c>
      <c r="L85" s="435">
        <f t="shared" ca="1" si="28"/>
        <v>0</v>
      </c>
      <c r="M85" s="435">
        <f t="shared" ca="1" si="28"/>
        <v>0</v>
      </c>
      <c r="N85" s="435">
        <f t="shared" ca="1" si="28"/>
        <v>0</v>
      </c>
      <c r="O85" s="435">
        <f t="shared" ca="1" si="28"/>
        <v>0</v>
      </c>
      <c r="P85" s="435">
        <f t="shared" ca="1" si="28"/>
        <v>0</v>
      </c>
      <c r="Q85" s="435">
        <f t="shared" ca="1" si="28"/>
        <v>0</v>
      </c>
      <c r="R85" s="435">
        <f t="shared" ca="1" si="28"/>
        <v>0</v>
      </c>
      <c r="S85" s="435">
        <f t="shared" ca="1" si="28"/>
        <v>0</v>
      </c>
      <c r="T85" s="435">
        <f t="shared" ca="1" si="28"/>
        <v>0</v>
      </c>
      <c r="U85" s="435">
        <f t="shared" ca="1" si="28"/>
        <v>0</v>
      </c>
      <c r="V85" s="435">
        <f t="shared" ca="1" si="28"/>
        <v>0</v>
      </c>
      <c r="W85" s="435">
        <f t="shared" ca="1" si="28"/>
        <v>0</v>
      </c>
      <c r="X85" s="435">
        <f t="shared" ca="1" si="28"/>
        <v>0</v>
      </c>
      <c r="Y85" s="435">
        <f t="shared" ca="1" si="28"/>
        <v>0</v>
      </c>
      <c r="Z85" s="435">
        <f t="shared" ca="1" si="28"/>
        <v>0</v>
      </c>
      <c r="AA85" s="435">
        <f t="shared" ca="1" si="28"/>
        <v>0</v>
      </c>
      <c r="AB85" s="435">
        <f t="shared" ca="1" si="28"/>
        <v>0</v>
      </c>
      <c r="AC85" s="435">
        <f t="shared" ca="1" si="28"/>
        <v>0</v>
      </c>
      <c r="AD85" s="435">
        <f t="shared" ca="1" si="28"/>
        <v>0</v>
      </c>
      <c r="AE85" s="435">
        <f t="shared" ca="1" si="28"/>
        <v>0</v>
      </c>
      <c r="AF85" s="211" t="s">
        <v>68</v>
      </c>
      <c r="AG85" s="45" t="s">
        <v>27</v>
      </c>
      <c r="AH85" s="48"/>
      <c r="AI85" s="268"/>
      <c r="AJ85" s="208"/>
      <c r="AK85" s="208"/>
      <c r="AL85" s="208"/>
      <c r="AM85" s="207"/>
      <c r="AN85" s="282"/>
      <c r="AO85" s="282"/>
      <c r="AP85" s="118"/>
    </row>
    <row r="86" spans="1:42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204" t="str">
        <f t="shared" ref="AF86:AF95" si="29">A86</f>
        <v>Arztbesuch</v>
      </c>
      <c r="AG86" s="217"/>
      <c r="AH86" s="237">
        <f t="shared" ref="AH86:AH95" si="30">SUM(B86:AE86)</f>
        <v>0</v>
      </c>
      <c r="AI86" s="259"/>
      <c r="AJ86" s="260"/>
      <c r="AK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L86" s="208"/>
      <c r="AM86" s="244">
        <f t="shared" ref="AM86:AM94" ca="1" si="31">AH86+AK86</f>
        <v>0</v>
      </c>
      <c r="AN86" s="207"/>
      <c r="AO86" s="207"/>
      <c r="AP86" s="118"/>
    </row>
    <row r="87" spans="1:42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204" t="str">
        <f t="shared" si="29"/>
        <v>Krankheit</v>
      </c>
      <c r="AG87" s="217"/>
      <c r="AH87" s="237">
        <f t="shared" si="30"/>
        <v>0</v>
      </c>
      <c r="AI87" s="259"/>
      <c r="AJ87" s="260"/>
      <c r="AK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L87" s="208"/>
      <c r="AM87" s="244">
        <f t="shared" ca="1" si="31"/>
        <v>0</v>
      </c>
      <c r="AN87" s="207"/>
      <c r="AO87" s="207"/>
      <c r="AP87" s="118"/>
    </row>
    <row r="88" spans="1:42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204" t="str">
        <f t="shared" si="29"/>
        <v>Berufsunfall</v>
      </c>
      <c r="AG88" s="217"/>
      <c r="AH88" s="237">
        <f t="shared" si="30"/>
        <v>0</v>
      </c>
      <c r="AI88" s="259"/>
      <c r="AJ88" s="260"/>
      <c r="AK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L88" s="208"/>
      <c r="AM88" s="244">
        <f t="shared" ca="1" si="31"/>
        <v>0</v>
      </c>
      <c r="AN88" s="207"/>
      <c r="AO88" s="207"/>
      <c r="AP88" s="118"/>
    </row>
    <row r="89" spans="1:42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204" t="str">
        <f t="shared" si="29"/>
        <v>Nichtberufsunfall</v>
      </c>
      <c r="AG89" s="217"/>
      <c r="AH89" s="237">
        <f t="shared" si="30"/>
        <v>0</v>
      </c>
      <c r="AI89" s="259"/>
      <c r="AJ89" s="260"/>
      <c r="AK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L89" s="208"/>
      <c r="AM89" s="244">
        <f t="shared" ca="1" si="31"/>
        <v>0</v>
      </c>
      <c r="AN89" s="207"/>
      <c r="AO89" s="207"/>
      <c r="AP89" s="118"/>
    </row>
    <row r="90" spans="1:42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204" t="str">
        <f t="shared" si="29"/>
        <v>Militär/Zivilschutz</v>
      </c>
      <c r="AG90" s="217"/>
      <c r="AH90" s="237">
        <f t="shared" si="30"/>
        <v>0</v>
      </c>
      <c r="AI90" s="259"/>
      <c r="AJ90" s="260"/>
      <c r="AK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L90" s="208"/>
      <c r="AM90" s="244">
        <f t="shared" ca="1" si="31"/>
        <v>0</v>
      </c>
      <c r="AN90" s="207"/>
      <c r="AO90" s="207"/>
      <c r="AP90" s="118"/>
    </row>
    <row r="91" spans="1:42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204" t="str">
        <f t="shared" si="29"/>
        <v>Weiterbildung</v>
      </c>
      <c r="AG91" s="217"/>
      <c r="AH91" s="237">
        <f t="shared" si="30"/>
        <v>0</v>
      </c>
      <c r="AI91" s="259"/>
      <c r="AJ91" s="260"/>
      <c r="AK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L91" s="208"/>
      <c r="AM91" s="244">
        <f t="shared" ca="1" si="31"/>
        <v>0</v>
      </c>
      <c r="AN91" s="207"/>
      <c r="AO91" s="207"/>
      <c r="AP91" s="118"/>
    </row>
    <row r="92" spans="1:42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204" t="str">
        <f t="shared" si="29"/>
        <v>Besoldeter Urlaub</v>
      </c>
      <c r="AG92" s="217"/>
      <c r="AH92" s="237">
        <f t="shared" si="30"/>
        <v>0</v>
      </c>
      <c r="AI92" s="259"/>
      <c r="AJ92" s="260"/>
      <c r="AK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L92" s="208"/>
      <c r="AM92" s="244">
        <f t="shared" ca="1" si="31"/>
        <v>0</v>
      </c>
      <c r="AN92" s="207"/>
      <c r="AO92" s="207"/>
      <c r="AP92" s="118"/>
    </row>
    <row r="93" spans="1:42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204" t="str">
        <f t="shared" si="29"/>
        <v>Unbesoldeter Urlaub</v>
      </c>
      <c r="AG93" s="217"/>
      <c r="AH93" s="237">
        <f t="shared" si="30"/>
        <v>0</v>
      </c>
      <c r="AI93" s="259"/>
      <c r="AJ93" s="260"/>
      <c r="AK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L93" s="208"/>
      <c r="AM93" s="244">
        <f t="shared" ca="1" si="31"/>
        <v>0</v>
      </c>
      <c r="AN93" s="207"/>
      <c r="AO93" s="207"/>
      <c r="AP93" s="118"/>
    </row>
    <row r="94" spans="1:42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204" t="str">
        <f t="shared" si="29"/>
        <v>Nebenbeschäftigung</v>
      </c>
      <c r="AG94" s="217"/>
      <c r="AH94" s="237">
        <f t="shared" si="30"/>
        <v>0</v>
      </c>
      <c r="AI94" s="259"/>
      <c r="AJ94" s="260"/>
      <c r="AK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L94" s="208"/>
      <c r="AM94" s="244">
        <f t="shared" ca="1" si="31"/>
        <v>0</v>
      </c>
      <c r="AN94" s="207"/>
      <c r="AO94" s="207"/>
      <c r="AP94" s="118"/>
    </row>
    <row r="95" spans="1:42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204" t="str">
        <f t="shared" si="29"/>
        <v>DAG</v>
      </c>
      <c r="AG95" s="217"/>
      <c r="AH95" s="237">
        <f t="shared" si="30"/>
        <v>0</v>
      </c>
      <c r="AI95" s="259"/>
      <c r="AJ95" s="260"/>
      <c r="AK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L95" s="208"/>
      <c r="AM95" s="244">
        <f ca="1">AK95-AH95</f>
        <v>0</v>
      </c>
      <c r="AN95" s="207"/>
      <c r="AO95" s="207"/>
      <c r="AP95" s="118"/>
    </row>
    <row r="96" spans="1:42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04"/>
      <c r="AG96" s="227"/>
      <c r="AH96" s="223"/>
      <c r="AI96" s="276"/>
      <c r="AJ96" s="260"/>
      <c r="AK96" s="260"/>
      <c r="AL96" s="208"/>
      <c r="AM96" s="277"/>
      <c r="AN96" s="212"/>
      <c r="AO96" s="212"/>
      <c r="AP96" s="118"/>
    </row>
    <row r="97" spans="1:42" s="38" customFormat="1" ht="15" customHeight="1" x14ac:dyDescent="0.2">
      <c r="A97" s="214" t="str">
        <f t="shared" ref="A97:A111" ca="1" si="32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204" t="str">
        <f t="shared" ref="AF97:AF112" ca="1" si="33">A97</f>
        <v/>
      </c>
      <c r="AG97" s="232"/>
      <c r="AH97" s="283">
        <f t="shared" ref="AH97:AH112" si="34">SUM(B97:AE97)</f>
        <v>0</v>
      </c>
      <c r="AI97" s="259"/>
      <c r="AJ97" s="223"/>
      <c r="AK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L97" s="208"/>
      <c r="AM97" s="244">
        <f t="shared" ref="AM97:AM112" ca="1" si="35">AH97+AK97</f>
        <v>0</v>
      </c>
      <c r="AN97" s="207"/>
      <c r="AO97" s="207"/>
      <c r="AP97" s="118"/>
    </row>
    <row r="98" spans="1:42" s="38" customFormat="1" ht="15" customHeight="1" x14ac:dyDescent="0.2">
      <c r="A98" s="214" t="str">
        <f t="shared" ca="1" si="32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204" t="str">
        <f t="shared" ca="1" si="33"/>
        <v/>
      </c>
      <c r="AG98" s="217"/>
      <c r="AH98" s="237">
        <f t="shared" si="34"/>
        <v>0</v>
      </c>
      <c r="AI98" s="259"/>
      <c r="AJ98" s="223"/>
      <c r="AK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L98" s="208"/>
      <c r="AM98" s="244">
        <f t="shared" ca="1" si="35"/>
        <v>0</v>
      </c>
      <c r="AN98" s="207"/>
      <c r="AO98" s="207"/>
      <c r="AP98" s="118"/>
    </row>
    <row r="99" spans="1:42" s="38" customFormat="1" ht="15" customHeight="1" x14ac:dyDescent="0.2">
      <c r="A99" s="214" t="str">
        <f t="shared" ca="1" si="32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204" t="str">
        <f t="shared" ca="1" si="33"/>
        <v/>
      </c>
      <c r="AG99" s="284"/>
      <c r="AH99" s="237">
        <f t="shared" si="34"/>
        <v>0</v>
      </c>
      <c r="AI99" s="259"/>
      <c r="AJ99" s="223"/>
      <c r="AK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L99" s="208"/>
      <c r="AM99" s="244">
        <f t="shared" ca="1" si="35"/>
        <v>0</v>
      </c>
      <c r="AN99" s="207"/>
      <c r="AO99" s="207"/>
      <c r="AP99" s="118"/>
    </row>
    <row r="100" spans="1:42" s="38" customFormat="1" ht="15" customHeight="1" x14ac:dyDescent="0.2">
      <c r="A100" s="214" t="str">
        <f t="shared" ca="1" si="32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204" t="str">
        <f t="shared" ca="1" si="33"/>
        <v/>
      </c>
      <c r="AG100" s="227"/>
      <c r="AH100" s="237">
        <f t="shared" si="34"/>
        <v>0</v>
      </c>
      <c r="AI100" s="259"/>
      <c r="AJ100" s="223"/>
      <c r="AK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L100" s="208"/>
      <c r="AM100" s="244">
        <f t="shared" ca="1" si="35"/>
        <v>0</v>
      </c>
      <c r="AN100" s="207"/>
      <c r="AO100" s="207"/>
      <c r="AP100" s="118"/>
    </row>
    <row r="101" spans="1:42" s="38" customFormat="1" ht="15" customHeight="1" x14ac:dyDescent="0.2">
      <c r="A101" s="214" t="str">
        <f t="shared" ca="1" si="32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204" t="str">
        <f t="shared" ca="1" si="33"/>
        <v/>
      </c>
      <c r="AG101" s="217"/>
      <c r="AH101" s="237">
        <f t="shared" si="34"/>
        <v>0</v>
      </c>
      <c r="AI101" s="259"/>
      <c r="AJ101" s="223"/>
      <c r="AK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L101" s="208"/>
      <c r="AM101" s="244">
        <f t="shared" ca="1" si="35"/>
        <v>0</v>
      </c>
      <c r="AN101" s="207"/>
      <c r="AO101" s="207"/>
      <c r="AP101" s="118"/>
    </row>
    <row r="102" spans="1:42" s="38" customFormat="1" ht="15" hidden="1" customHeight="1" outlineLevel="1" x14ac:dyDescent="0.2">
      <c r="A102" s="214" t="str">
        <f t="shared" ca="1" si="32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204" t="str">
        <f t="shared" ca="1" si="33"/>
        <v/>
      </c>
      <c r="AG102" s="284"/>
      <c r="AH102" s="237">
        <f t="shared" si="34"/>
        <v>0</v>
      </c>
      <c r="AI102" s="259"/>
      <c r="AJ102" s="223"/>
      <c r="AK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L102" s="208"/>
      <c r="AM102" s="244">
        <f t="shared" ca="1" si="35"/>
        <v>0</v>
      </c>
      <c r="AN102" s="207"/>
      <c r="AO102" s="207"/>
      <c r="AP102" s="118"/>
    </row>
    <row r="103" spans="1:42" s="38" customFormat="1" ht="15" hidden="1" customHeight="1" outlineLevel="1" x14ac:dyDescent="0.2">
      <c r="A103" s="214" t="str">
        <f t="shared" ca="1" si="32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204" t="str">
        <f t="shared" ca="1" si="33"/>
        <v/>
      </c>
      <c r="AG103" s="227"/>
      <c r="AH103" s="237">
        <f t="shared" si="34"/>
        <v>0</v>
      </c>
      <c r="AI103" s="259"/>
      <c r="AJ103" s="223"/>
      <c r="AK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L103" s="208"/>
      <c r="AM103" s="244">
        <f t="shared" ca="1" si="35"/>
        <v>0</v>
      </c>
      <c r="AN103" s="207"/>
      <c r="AO103" s="207"/>
      <c r="AP103" s="118"/>
    </row>
    <row r="104" spans="1:42" s="38" customFormat="1" ht="15" hidden="1" customHeight="1" outlineLevel="1" x14ac:dyDescent="0.2">
      <c r="A104" s="214" t="str">
        <f t="shared" ca="1" si="32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204" t="str">
        <f t="shared" ca="1" si="33"/>
        <v/>
      </c>
      <c r="AG104" s="232"/>
      <c r="AH104" s="237">
        <f t="shared" si="34"/>
        <v>0</v>
      </c>
      <c r="AI104" s="259"/>
      <c r="AJ104" s="223"/>
      <c r="AK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L104" s="208"/>
      <c r="AM104" s="244">
        <f t="shared" ca="1" si="35"/>
        <v>0</v>
      </c>
      <c r="AN104" s="207"/>
      <c r="AO104" s="207"/>
      <c r="AP104" s="118"/>
    </row>
    <row r="105" spans="1:42" s="38" customFormat="1" ht="15" hidden="1" customHeight="1" outlineLevel="1" x14ac:dyDescent="0.2">
      <c r="A105" s="214" t="str">
        <f t="shared" ca="1" si="32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204" t="str">
        <f t="shared" ca="1" si="33"/>
        <v/>
      </c>
      <c r="AG105" s="217"/>
      <c r="AH105" s="237">
        <f t="shared" si="34"/>
        <v>0</v>
      </c>
      <c r="AI105" s="259"/>
      <c r="AJ105" s="223"/>
      <c r="AK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L105" s="208"/>
      <c r="AM105" s="244">
        <f t="shared" ca="1" si="35"/>
        <v>0</v>
      </c>
      <c r="AN105" s="207"/>
      <c r="AO105" s="207"/>
      <c r="AP105" s="118"/>
    </row>
    <row r="106" spans="1:42" s="38" customFormat="1" ht="15" hidden="1" customHeight="1" outlineLevel="1" x14ac:dyDescent="0.2">
      <c r="A106" s="214" t="str">
        <f t="shared" ca="1" si="32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204" t="str">
        <f t="shared" ca="1" si="33"/>
        <v/>
      </c>
      <c r="AG106" s="217"/>
      <c r="AH106" s="237">
        <f t="shared" si="34"/>
        <v>0</v>
      </c>
      <c r="AI106" s="259"/>
      <c r="AJ106" s="223"/>
      <c r="AK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L106" s="208"/>
      <c r="AM106" s="244">
        <f t="shared" ca="1" si="35"/>
        <v>0</v>
      </c>
      <c r="AN106" s="207"/>
      <c r="AO106" s="207"/>
      <c r="AP106" s="118"/>
    </row>
    <row r="107" spans="1:42" s="38" customFormat="1" ht="15" hidden="1" customHeight="1" outlineLevel="1" x14ac:dyDescent="0.2">
      <c r="A107" s="214" t="str">
        <f t="shared" ca="1" si="32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204" t="str">
        <f t="shared" ca="1" si="33"/>
        <v/>
      </c>
      <c r="AG107" s="232"/>
      <c r="AH107" s="237">
        <f t="shared" si="34"/>
        <v>0</v>
      </c>
      <c r="AI107" s="259"/>
      <c r="AJ107" s="223"/>
      <c r="AK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L107" s="208"/>
      <c r="AM107" s="244">
        <f t="shared" ca="1" si="35"/>
        <v>0</v>
      </c>
      <c r="AN107" s="285"/>
      <c r="AO107" s="285"/>
      <c r="AP107" s="118"/>
    </row>
    <row r="108" spans="1:42" s="49" customFormat="1" ht="15" hidden="1" customHeight="1" outlineLevel="1" x14ac:dyDescent="0.2">
      <c r="A108" s="214" t="str">
        <f t="shared" ca="1" si="32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204" t="str">
        <f t="shared" ca="1" si="33"/>
        <v/>
      </c>
      <c r="AG108" s="232"/>
      <c r="AH108" s="237">
        <f t="shared" si="34"/>
        <v>0</v>
      </c>
      <c r="AI108" s="259"/>
      <c r="AJ108" s="223"/>
      <c r="AK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L108" s="208"/>
      <c r="AM108" s="244">
        <f t="shared" ca="1" si="35"/>
        <v>0</v>
      </c>
      <c r="AN108" s="285"/>
      <c r="AO108" s="285"/>
      <c r="AP108" s="286"/>
    </row>
    <row r="109" spans="1:42" s="49" customFormat="1" ht="15" hidden="1" customHeight="1" outlineLevel="1" x14ac:dyDescent="0.2">
      <c r="A109" s="214" t="str">
        <f t="shared" ca="1" si="32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204" t="str">
        <f t="shared" ca="1" si="33"/>
        <v/>
      </c>
      <c r="AG109" s="217"/>
      <c r="AH109" s="237">
        <f t="shared" si="34"/>
        <v>0</v>
      </c>
      <c r="AI109" s="259"/>
      <c r="AJ109" s="223"/>
      <c r="AK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L109" s="208"/>
      <c r="AM109" s="244">
        <f t="shared" ca="1" si="35"/>
        <v>0</v>
      </c>
      <c r="AN109" s="285"/>
      <c r="AO109" s="285"/>
      <c r="AP109" s="286"/>
    </row>
    <row r="110" spans="1:42" ht="15" hidden="1" customHeight="1" outlineLevel="1" x14ac:dyDescent="0.2">
      <c r="A110" s="214" t="str">
        <f t="shared" ca="1" si="32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204" t="str">
        <f t="shared" ca="1" si="33"/>
        <v/>
      </c>
      <c r="AG110" s="217"/>
      <c r="AH110" s="237">
        <f t="shared" si="34"/>
        <v>0</v>
      </c>
      <c r="AI110" s="259"/>
      <c r="AJ110" s="223"/>
      <c r="AK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L110" s="208"/>
      <c r="AM110" s="244">
        <f t="shared" ca="1" si="35"/>
        <v>0</v>
      </c>
      <c r="AN110" s="285"/>
      <c r="AO110" s="285"/>
      <c r="AP110" s="122"/>
    </row>
    <row r="111" spans="1:42" ht="15" hidden="1" customHeight="1" outlineLevel="1" x14ac:dyDescent="0.2">
      <c r="A111" s="214" t="str">
        <f t="shared" ca="1" si="32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204" t="str">
        <f t="shared" ca="1" si="33"/>
        <v/>
      </c>
      <c r="AG111" s="217"/>
      <c r="AH111" s="237">
        <f t="shared" si="34"/>
        <v>0</v>
      </c>
      <c r="AI111" s="259"/>
      <c r="AJ111" s="223"/>
      <c r="AK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L111" s="208"/>
      <c r="AM111" s="244">
        <f t="shared" ca="1" si="35"/>
        <v>0</v>
      </c>
      <c r="AN111" s="285"/>
      <c r="AO111" s="285"/>
      <c r="AP111" s="122"/>
    </row>
    <row r="112" spans="1:42" ht="15" customHeight="1" collapsed="1" x14ac:dyDescent="0.2">
      <c r="A112" s="214" t="s">
        <v>188</v>
      </c>
      <c r="B112" s="235">
        <f>SUM(B97:B111)</f>
        <v>0</v>
      </c>
      <c r="C112" s="235">
        <f t="shared" ref="C112:AE112" si="36">SUM(C97:C111)</f>
        <v>0</v>
      </c>
      <c r="D112" s="235">
        <f t="shared" si="36"/>
        <v>0</v>
      </c>
      <c r="E112" s="235">
        <f t="shared" si="36"/>
        <v>0</v>
      </c>
      <c r="F112" s="235">
        <f t="shared" si="36"/>
        <v>0</v>
      </c>
      <c r="G112" s="235">
        <f t="shared" si="36"/>
        <v>0</v>
      </c>
      <c r="H112" s="235">
        <f t="shared" si="36"/>
        <v>0</v>
      </c>
      <c r="I112" s="235">
        <f t="shared" si="36"/>
        <v>0</v>
      </c>
      <c r="J112" s="235">
        <f t="shared" si="36"/>
        <v>0</v>
      </c>
      <c r="K112" s="235">
        <f t="shared" si="36"/>
        <v>0</v>
      </c>
      <c r="L112" s="235">
        <f t="shared" si="36"/>
        <v>0</v>
      </c>
      <c r="M112" s="235">
        <f t="shared" si="36"/>
        <v>0</v>
      </c>
      <c r="N112" s="235">
        <f t="shared" si="36"/>
        <v>0</v>
      </c>
      <c r="O112" s="235">
        <f t="shared" si="36"/>
        <v>0</v>
      </c>
      <c r="P112" s="235">
        <f t="shared" si="36"/>
        <v>0</v>
      </c>
      <c r="Q112" s="235">
        <f t="shared" si="36"/>
        <v>0</v>
      </c>
      <c r="R112" s="235">
        <f t="shared" si="36"/>
        <v>0</v>
      </c>
      <c r="S112" s="235">
        <f t="shared" si="36"/>
        <v>0</v>
      </c>
      <c r="T112" s="235">
        <f t="shared" si="36"/>
        <v>0</v>
      </c>
      <c r="U112" s="235">
        <f t="shared" si="36"/>
        <v>0</v>
      </c>
      <c r="V112" s="235">
        <f t="shared" si="36"/>
        <v>0</v>
      </c>
      <c r="W112" s="235">
        <f t="shared" si="36"/>
        <v>0</v>
      </c>
      <c r="X112" s="235">
        <f t="shared" si="36"/>
        <v>0</v>
      </c>
      <c r="Y112" s="235">
        <f t="shared" si="36"/>
        <v>0</v>
      </c>
      <c r="Z112" s="235">
        <f t="shared" si="36"/>
        <v>0</v>
      </c>
      <c r="AA112" s="235">
        <f t="shared" si="36"/>
        <v>0</v>
      </c>
      <c r="AB112" s="235">
        <f t="shared" si="36"/>
        <v>0</v>
      </c>
      <c r="AC112" s="235">
        <f t="shared" si="36"/>
        <v>0</v>
      </c>
      <c r="AD112" s="235">
        <f t="shared" si="36"/>
        <v>0</v>
      </c>
      <c r="AE112" s="235">
        <f t="shared" si="36"/>
        <v>0</v>
      </c>
      <c r="AF112" s="216" t="str">
        <f t="shared" si="33"/>
        <v>Arbeitszeit Total Projekte</v>
      </c>
      <c r="AG112" s="217"/>
      <c r="AH112" s="237">
        <f t="shared" si="34"/>
        <v>0</v>
      </c>
      <c r="AI112" s="259"/>
      <c r="AJ112" s="223"/>
      <c r="AK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L112" s="208"/>
      <c r="AM112" s="244">
        <f t="shared" ca="1" si="35"/>
        <v>0</v>
      </c>
      <c r="AN112" s="287"/>
      <c r="AO112" s="287"/>
      <c r="AP112" s="122"/>
    </row>
    <row r="113" spans="1:42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89"/>
      <c r="AG113" s="284"/>
      <c r="AH113" s="225"/>
      <c r="AI113" s="290"/>
      <c r="AJ113" s="225"/>
      <c r="AK113" s="225"/>
      <c r="AL113" s="225"/>
      <c r="AM113" s="129"/>
      <c r="AN113" s="225"/>
      <c r="AO113" s="225"/>
      <c r="AP113" s="118"/>
    </row>
    <row r="114" spans="1:42" s="38" customFormat="1" ht="15" hidden="1" customHeight="1" outlineLevel="1" x14ac:dyDescent="0.2">
      <c r="A114" s="214" t="s">
        <v>214</v>
      </c>
      <c r="B114" s="239">
        <f t="shared" ref="B114:AE114" si="37">ROUND(((B23+B45+B91)-SUMPRODUCT((B97:B111)*(EB.Projektart.Bereich=6)))*1440,0)/1440</f>
        <v>0</v>
      </c>
      <c r="C114" s="239">
        <f t="shared" si="37"/>
        <v>0</v>
      </c>
      <c r="D114" s="239">
        <f t="shared" si="37"/>
        <v>0</v>
      </c>
      <c r="E114" s="239">
        <f t="shared" si="37"/>
        <v>0</v>
      </c>
      <c r="F114" s="239">
        <f t="shared" si="37"/>
        <v>0</v>
      </c>
      <c r="G114" s="239">
        <f t="shared" si="37"/>
        <v>0</v>
      </c>
      <c r="H114" s="239">
        <f t="shared" si="37"/>
        <v>0</v>
      </c>
      <c r="I114" s="239">
        <f t="shared" si="37"/>
        <v>0</v>
      </c>
      <c r="J114" s="239">
        <f t="shared" si="37"/>
        <v>0</v>
      </c>
      <c r="K114" s="239">
        <f t="shared" si="37"/>
        <v>0</v>
      </c>
      <c r="L114" s="239">
        <f t="shared" si="37"/>
        <v>0</v>
      </c>
      <c r="M114" s="239">
        <f t="shared" si="37"/>
        <v>0</v>
      </c>
      <c r="N114" s="239">
        <f t="shared" si="37"/>
        <v>0</v>
      </c>
      <c r="O114" s="239">
        <f t="shared" si="37"/>
        <v>0</v>
      </c>
      <c r="P114" s="239">
        <f t="shared" si="37"/>
        <v>0</v>
      </c>
      <c r="Q114" s="239">
        <f t="shared" si="37"/>
        <v>0</v>
      </c>
      <c r="R114" s="239">
        <f t="shared" si="37"/>
        <v>0</v>
      </c>
      <c r="S114" s="239">
        <f t="shared" si="37"/>
        <v>0</v>
      </c>
      <c r="T114" s="239">
        <f t="shared" si="37"/>
        <v>0</v>
      </c>
      <c r="U114" s="239">
        <f t="shared" si="37"/>
        <v>0</v>
      </c>
      <c r="V114" s="239">
        <f t="shared" si="37"/>
        <v>0</v>
      </c>
      <c r="W114" s="239">
        <f t="shared" si="37"/>
        <v>0</v>
      </c>
      <c r="X114" s="239">
        <f t="shared" si="37"/>
        <v>0</v>
      </c>
      <c r="Y114" s="239">
        <f t="shared" si="37"/>
        <v>0</v>
      </c>
      <c r="Z114" s="239">
        <f t="shared" si="37"/>
        <v>0</v>
      </c>
      <c r="AA114" s="239">
        <f t="shared" si="37"/>
        <v>0</v>
      </c>
      <c r="AB114" s="239">
        <f t="shared" si="37"/>
        <v>0</v>
      </c>
      <c r="AC114" s="239">
        <f t="shared" si="37"/>
        <v>0</v>
      </c>
      <c r="AD114" s="239">
        <f t="shared" si="37"/>
        <v>0</v>
      </c>
      <c r="AE114" s="239">
        <f t="shared" si="37"/>
        <v>0</v>
      </c>
      <c r="AF114" s="216" t="str">
        <f t="shared" ref="AF114" si="38">A114</f>
        <v>Differenz AZ - Projektart 6</v>
      </c>
      <c r="AG114" s="227"/>
      <c r="AH114" s="237">
        <f>SUM(B114:AE114)</f>
        <v>0</v>
      </c>
      <c r="AI114" s="259"/>
      <c r="AJ114" s="260"/>
      <c r="AK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L114" s="260"/>
      <c r="AM114" s="244">
        <f ca="1">AH114+AK114</f>
        <v>0</v>
      </c>
      <c r="AN114" s="260"/>
      <c r="AO114" s="260"/>
      <c r="AP114" s="118"/>
    </row>
    <row r="115" spans="1:42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3"/>
      <c r="AG115" s="294"/>
      <c r="AH115" s="122"/>
      <c r="AI115" s="122"/>
      <c r="AJ115" s="122"/>
      <c r="AK115" s="122"/>
      <c r="AL115" s="122"/>
      <c r="AM115" s="295"/>
      <c r="AN115" s="122"/>
      <c r="AO115" s="122"/>
      <c r="AP115" s="122"/>
    </row>
    <row r="116" spans="1:42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3"/>
      <c r="AG116" s="294"/>
      <c r="AH116" s="122"/>
      <c r="AI116" s="122"/>
      <c r="AJ116" s="122"/>
      <c r="AK116" s="122"/>
      <c r="AL116" s="122"/>
      <c r="AM116" s="295"/>
      <c r="AN116" s="122"/>
      <c r="AO116" s="122"/>
      <c r="AP116" s="122"/>
    </row>
    <row r="117" spans="1:42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7"/>
      <c r="AG117" s="298"/>
      <c r="AH117" s="296"/>
      <c r="AI117" s="296"/>
      <c r="AJ117" s="296"/>
      <c r="AK117" s="296"/>
      <c r="AL117" s="296"/>
      <c r="AM117" s="299"/>
      <c r="AN117" s="286"/>
      <c r="AO117" s="286"/>
      <c r="AP117" s="122"/>
    </row>
    <row r="118" spans="1:42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122"/>
    </row>
    <row r="119" spans="1:42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3" t="str">
        <f ca="1">IF(AF67&lt;&gt;Monat.KomAZText,AF67 &amp; CHAR(10),"") &amp;
IF(AF84&lt;&gt;Monat.FerienText,AF84,"")</f>
        <v/>
      </c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122"/>
    </row>
    <row r="120" spans="1:42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122"/>
    </row>
    <row r="121" spans="1:42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3"/>
      <c r="AG121" s="294"/>
      <c r="AH121" s="122"/>
      <c r="AI121" s="122"/>
      <c r="AJ121" s="122"/>
      <c r="AK121" s="122"/>
      <c r="AL121" s="122"/>
      <c r="AM121" s="295"/>
      <c r="AN121" s="122"/>
      <c r="AO121" s="122"/>
      <c r="AP121" s="122"/>
    </row>
    <row r="122" spans="1:42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3"/>
      <c r="AG122" s="294"/>
      <c r="AH122" s="122"/>
      <c r="AI122" s="122"/>
      <c r="AJ122" s="122"/>
      <c r="AK122" s="122"/>
      <c r="AL122" s="122"/>
      <c r="AM122" s="295"/>
      <c r="AN122" s="122"/>
      <c r="AO122" s="122"/>
      <c r="AP122" s="122"/>
    </row>
    <row r="123" spans="1:42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3"/>
      <c r="AG123" s="294"/>
      <c r="AH123" s="122"/>
      <c r="AI123" s="122"/>
      <c r="AJ123" s="122"/>
      <c r="AK123" s="122"/>
      <c r="AL123" s="122"/>
      <c r="AM123" s="295"/>
      <c r="AN123" s="122"/>
      <c r="AO123" s="122"/>
      <c r="AP123" s="122"/>
    </row>
    <row r="124" spans="1:42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122"/>
    </row>
    <row r="125" spans="1:42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</row>
    <row r="126" spans="1:42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</row>
    <row r="127" spans="1:42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</row>
    <row r="128" spans="1:42" x14ac:dyDescent="0.2">
      <c r="AF128" s="50"/>
      <c r="AG128" s="50"/>
      <c r="AM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N1:AO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G10:AH10"/>
    <mergeCell ref="AN10:AO10"/>
    <mergeCell ref="B117:Q117"/>
    <mergeCell ref="B119:Q119"/>
    <mergeCell ref="Y119:AE120"/>
    <mergeCell ref="AF119:AO120"/>
    <mergeCell ref="B120:Q120"/>
    <mergeCell ref="T120:X120"/>
  </mergeCells>
  <conditionalFormatting sqref="AH114 B114:AE114">
    <cfRule type="expression" dxfId="120" priority="16">
      <formula>ABS(B$114)&gt;=ROUND(1/24/60,9)</formula>
    </cfRule>
  </conditionalFormatting>
  <conditionalFormatting sqref="B13:AE22 B34:AE44 B25:AE30 B60:AE61 B67:AE67 B71:AE72 B84:AE84 B86:AE95 B97:AE111">
    <cfRule type="expression" dxfId="119" priority="14">
      <formula>WEEKDAY(B$10,2)&gt;5</formula>
    </cfRule>
    <cfRule type="expression" dxfId="118" priority="15">
      <formula>AND(NOT(ISERROR(MATCH(B$10,T.Feiertage.Bereich,0))),OFFSET(T.Feiertage.Bereich,MATCH(B$10,T.Feiertage.Bereich,0)-1,1,1,1)&gt;0)</formula>
    </cfRule>
    <cfRule type="expression" dxfId="117" priority="17">
      <formula>B$11=0</formula>
    </cfRule>
  </conditionalFormatting>
  <conditionalFormatting sqref="AM60:AN60">
    <cfRule type="expression" dxfId="116" priority="22">
      <formula>AND(T.50_Vetsuisse,AM60&gt;=T.GrenzeAngÜZ50_Vetsuisse)</formula>
    </cfRule>
    <cfRule type="expression" dxfId="115" priority="23">
      <formula>AND(T.50_Vetsuisse,AM60&gt;T.GrenzeAngÜZ50_Vetsuisse*T.AngÜZ50_Vetsuisse_orange)</formula>
    </cfRule>
  </conditionalFormatting>
  <conditionalFormatting sqref="B56:AE56">
    <cfRule type="expression" dxfId="114" priority="8">
      <formula>AND(B$10&gt;TODAY(),EB.UJAustritt="")</formula>
    </cfRule>
    <cfRule type="expression" dxfId="113" priority="9">
      <formula>B$56&gt;99.99/24</formula>
    </cfRule>
    <cfRule type="expression" dxfId="112" priority="11">
      <formula>B$56&lt;99.99/24*-1</formula>
    </cfRule>
  </conditionalFormatting>
  <conditionalFormatting sqref="AN55:AO55">
    <cfRule type="cellIs" dxfId="111" priority="24" operator="greaterThan">
      <formula>1/24/60</formula>
    </cfRule>
    <cfRule type="expression" dxfId="110" priority="25">
      <formula>AND(AN55&lt;=1/24/60*-1,TODAY()&gt;=DATE(EB.Jahr,MONTH(12),DAY(31)))</formula>
    </cfRule>
  </conditionalFormatting>
  <conditionalFormatting sqref="AH58 B56:AE56">
    <cfRule type="expression" dxfId="109" priority="10">
      <formula>B$56&gt;1/24/60</formula>
    </cfRule>
    <cfRule type="expression" dxfId="108" priority="12">
      <formula>AND(B$56&lt;=1/24/60*-1,B$56)</formula>
    </cfRule>
  </conditionalFormatting>
  <conditionalFormatting sqref="B14:AE22 B36:AE44 B26:AE30">
    <cfRule type="expression" dxfId="107" priority="6">
      <formula>AND(B14&lt;B13,B14&lt;&gt;"")</formula>
    </cfRule>
  </conditionalFormatting>
  <conditionalFormatting sqref="B72:AE73">
    <cfRule type="expression" dxfId="106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105" priority="18">
      <formula>$P$4&lt;&gt;""</formula>
    </cfRule>
  </conditionalFormatting>
  <conditionalFormatting sqref="V4">
    <cfRule type="expression" dxfId="104" priority="19">
      <formula>$V$4&lt;&gt;""</formula>
    </cfRule>
  </conditionalFormatting>
  <conditionalFormatting sqref="AO60">
    <cfRule type="expression" dxfId="103" priority="26">
      <formula>AND(T.50_Vetsuisse,AO60&gt;=T.GrenzeAngÜZ50_Vetsuisse)</formula>
    </cfRule>
    <cfRule type="expression" dxfId="102" priority="27">
      <formula>AND(T.50_Vetsuisse,AO60&gt;T.GrenzeAngÜZ50_Vetsuisse*T.AngÜZ50_Vetsuisse_orange)</formula>
    </cfRule>
  </conditionalFormatting>
  <conditionalFormatting sqref="AI72:AI73">
    <cfRule type="expression" dxfId="101" priority="20">
      <formula>AND(T.50_Vetsuisse,$AI$72&lt;&gt;$AI$73)</formula>
    </cfRule>
    <cfRule type="expression" dxfId="100" priority="21">
      <formula>$AI$72&gt;$AI$73</formula>
    </cfRule>
  </conditionalFormatting>
  <conditionalFormatting sqref="B55:AE55">
    <cfRule type="expression" dxfId="99" priority="7">
      <formula>AND(B$10&lt;=TODAY(),B$55&lt;1/24/60*-1)</formula>
    </cfRule>
  </conditionalFormatting>
  <conditionalFormatting sqref="AF67 AF84">
    <cfRule type="expression" dxfId="98" priority="5">
      <formula>AF67&lt;&gt;A67</formula>
    </cfRule>
  </conditionalFormatting>
  <conditionalFormatting sqref="B67:AE67">
    <cfRule type="expression" dxfId="97" priority="4">
      <formula>AND(B66=0,B67&gt;0)</formula>
    </cfRule>
  </conditionalFormatting>
  <conditionalFormatting sqref="B34:AE34">
    <cfRule type="expression" dxfId="96" priority="3">
      <formula>T.MedizinischeMikrobiologie</formula>
    </cfRule>
  </conditionalFormatting>
  <conditionalFormatting sqref="AJ51">
    <cfRule type="expression" dxfId="95" priority="2">
      <formula>ISNUMBER(AJ51)</formula>
    </cfRule>
  </conditionalFormatting>
  <conditionalFormatting sqref="AM51">
    <cfRule type="expression" dxfId="94" priority="1">
      <formula>ISNUMBER(AM51)</formula>
    </cfRule>
  </conditionalFormatting>
  <dataValidations count="2">
    <dataValidation type="list" allowBlank="1" showInputMessage="1" showErrorMessage="1" errorTitle="Start Gepl. Nachtdienst" error="Bitte wählen Sie einen Wert aus der Liste." sqref="B72:AE72" xr:uid="{DC39D218-AD7A-4000-A227-201FB60AE768}">
      <formula1>T.JaNein.Bereich</formula1>
    </dataValidation>
    <dataValidation type="list" allowBlank="1" showInputMessage="1" showErrorMessage="1" errorTitle="Pikett Bereitschaft" error="Bitte wählen Sie einen Wert aus der Liste." sqref="B34:AE34" xr:uid="{A734FB40-DD44-41D5-B1C7-846DA076A044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DC59-3B75-404A-A003-DA3D927A5B5A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Oktober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Oktober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Sa</v>
      </c>
      <c r="C9" s="194" t="str">
        <f t="shared" si="0"/>
        <v>So</v>
      </c>
      <c r="D9" s="194" t="str">
        <f t="shared" si="0"/>
        <v>Mo</v>
      </c>
      <c r="E9" s="194" t="str">
        <f t="shared" si="0"/>
        <v>Di</v>
      </c>
      <c r="F9" s="194" t="str">
        <f t="shared" si="0"/>
        <v>Mi</v>
      </c>
      <c r="G9" s="194" t="str">
        <f t="shared" si="0"/>
        <v>Do</v>
      </c>
      <c r="H9" s="194" t="str">
        <f t="shared" si="0"/>
        <v>Fr</v>
      </c>
      <c r="I9" s="194" t="str">
        <f t="shared" si="0"/>
        <v>Sa</v>
      </c>
      <c r="J9" s="194" t="str">
        <f t="shared" si="0"/>
        <v>So</v>
      </c>
      <c r="K9" s="194" t="str">
        <f t="shared" si="0"/>
        <v>Mo</v>
      </c>
      <c r="L9" s="194" t="str">
        <f t="shared" si="0"/>
        <v>Di</v>
      </c>
      <c r="M9" s="194" t="str">
        <f t="shared" si="0"/>
        <v>Mi</v>
      </c>
      <c r="N9" s="194" t="str">
        <f t="shared" si="0"/>
        <v>Do</v>
      </c>
      <c r="O9" s="194" t="str">
        <f t="shared" si="0"/>
        <v>Fr</v>
      </c>
      <c r="P9" s="194" t="str">
        <f t="shared" si="0"/>
        <v>Sa</v>
      </c>
      <c r="Q9" s="194" t="str">
        <f t="shared" si="0"/>
        <v>So</v>
      </c>
      <c r="R9" s="194" t="str">
        <f t="shared" si="0"/>
        <v>Mo</v>
      </c>
      <c r="S9" s="194" t="str">
        <f t="shared" si="0"/>
        <v>Di</v>
      </c>
      <c r="T9" s="194" t="str">
        <f t="shared" si="0"/>
        <v>Mi</v>
      </c>
      <c r="U9" s="194" t="str">
        <f t="shared" si="0"/>
        <v>Do</v>
      </c>
      <c r="V9" s="194" t="str">
        <f t="shared" si="0"/>
        <v>Fr</v>
      </c>
      <c r="W9" s="194" t="str">
        <f t="shared" si="0"/>
        <v>Sa</v>
      </c>
      <c r="X9" s="194" t="str">
        <f t="shared" si="0"/>
        <v>So</v>
      </c>
      <c r="Y9" s="194" t="str">
        <f t="shared" si="0"/>
        <v>Mo</v>
      </c>
      <c r="Z9" s="194" t="str">
        <f t="shared" si="0"/>
        <v>Di</v>
      </c>
      <c r="AA9" s="194" t="str">
        <f t="shared" si="0"/>
        <v>Mi</v>
      </c>
      <c r="AB9" s="194" t="str">
        <f t="shared" si="0"/>
        <v>Do</v>
      </c>
      <c r="AC9" s="194" t="str">
        <f t="shared" si="0"/>
        <v>Fr</v>
      </c>
      <c r="AD9" s="194" t="str">
        <f t="shared" si="0"/>
        <v>Sa</v>
      </c>
      <c r="AE9" s="194" t="str">
        <f t="shared" si="0"/>
        <v>So</v>
      </c>
      <c r="AF9" s="194" t="str">
        <f t="shared" si="0"/>
        <v>Mo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43373</v>
      </c>
      <c r="C10" s="196">
        <f>B10+1</f>
        <v>43374</v>
      </c>
      <c r="D10" s="196">
        <f t="shared" ref="D10:AF10" si="1">C10+1</f>
        <v>43375</v>
      </c>
      <c r="E10" s="196">
        <f t="shared" si="1"/>
        <v>43376</v>
      </c>
      <c r="F10" s="196">
        <f t="shared" si="1"/>
        <v>43377</v>
      </c>
      <c r="G10" s="196">
        <f t="shared" si="1"/>
        <v>43378</v>
      </c>
      <c r="H10" s="196">
        <f t="shared" si="1"/>
        <v>43379</v>
      </c>
      <c r="I10" s="196">
        <f t="shared" si="1"/>
        <v>43380</v>
      </c>
      <c r="J10" s="196">
        <f t="shared" si="1"/>
        <v>43381</v>
      </c>
      <c r="K10" s="196">
        <f t="shared" si="1"/>
        <v>43382</v>
      </c>
      <c r="L10" s="196">
        <f t="shared" si="1"/>
        <v>43383</v>
      </c>
      <c r="M10" s="196">
        <f t="shared" si="1"/>
        <v>43384</v>
      </c>
      <c r="N10" s="196">
        <f t="shared" si="1"/>
        <v>43385</v>
      </c>
      <c r="O10" s="196">
        <f t="shared" si="1"/>
        <v>43386</v>
      </c>
      <c r="P10" s="196">
        <f t="shared" si="1"/>
        <v>43387</v>
      </c>
      <c r="Q10" s="196">
        <f t="shared" si="1"/>
        <v>43388</v>
      </c>
      <c r="R10" s="196">
        <f t="shared" si="1"/>
        <v>43389</v>
      </c>
      <c r="S10" s="196">
        <f t="shared" si="1"/>
        <v>43390</v>
      </c>
      <c r="T10" s="196">
        <f t="shared" si="1"/>
        <v>43391</v>
      </c>
      <c r="U10" s="196">
        <f t="shared" si="1"/>
        <v>43392</v>
      </c>
      <c r="V10" s="196">
        <f t="shared" si="1"/>
        <v>43393</v>
      </c>
      <c r="W10" s="196">
        <f t="shared" si="1"/>
        <v>43394</v>
      </c>
      <c r="X10" s="196">
        <f t="shared" si="1"/>
        <v>43395</v>
      </c>
      <c r="Y10" s="196">
        <f t="shared" si="1"/>
        <v>43396</v>
      </c>
      <c r="Z10" s="196">
        <f t="shared" si="1"/>
        <v>43397</v>
      </c>
      <c r="AA10" s="196">
        <f t="shared" si="1"/>
        <v>43398</v>
      </c>
      <c r="AB10" s="196">
        <f t="shared" si="1"/>
        <v>43399</v>
      </c>
      <c r="AC10" s="196">
        <f t="shared" si="1"/>
        <v>43400</v>
      </c>
      <c r="AD10" s="196">
        <f t="shared" si="1"/>
        <v>43401</v>
      </c>
      <c r="AE10" s="196">
        <f t="shared" si="1"/>
        <v>43402</v>
      </c>
      <c r="AF10" s="196">
        <f t="shared" si="1"/>
        <v>43403</v>
      </c>
      <c r="AG10" s="197" t="str">
        <f t="shared" ref="AG10:AG56" si="2">A10</f>
        <v>Tag</v>
      </c>
      <c r="AH10" s="485" t="str">
        <f>"Total " &amp; INDEX(EB.Monate.Bereich,MONTH(Monat.Tag1))</f>
        <v>Total Oktober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1</v>
      </c>
      <c r="C11" s="201">
        <f t="shared" ca="1" si="3"/>
        <v>1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1</v>
      </c>
      <c r="Z11" s="203">
        <f t="shared" ca="1" si="3"/>
        <v>1</v>
      </c>
      <c r="AA11" s="201">
        <f t="shared" ca="1" si="3"/>
        <v>1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1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</v>
      </c>
      <c r="C52" s="78">
        <f t="shared" ca="1" si="14"/>
        <v>0</v>
      </c>
      <c r="D52" s="79">
        <f t="shared" ca="1" si="14"/>
        <v>0.35</v>
      </c>
      <c r="E52" s="78">
        <f t="shared" ca="1" si="14"/>
        <v>0.35</v>
      </c>
      <c r="F52" s="79">
        <f t="shared" ca="1" si="14"/>
        <v>0.35</v>
      </c>
      <c r="G52" s="79">
        <f t="shared" ca="1" si="14"/>
        <v>0.35</v>
      </c>
      <c r="H52" s="79">
        <f t="shared" ca="1" si="14"/>
        <v>0.35</v>
      </c>
      <c r="I52" s="79">
        <f t="shared" ca="1" si="14"/>
        <v>0</v>
      </c>
      <c r="J52" s="78">
        <f t="shared" ca="1" si="14"/>
        <v>0</v>
      </c>
      <c r="K52" s="79">
        <f t="shared" ca="1" si="14"/>
        <v>0.35</v>
      </c>
      <c r="L52" s="78">
        <f t="shared" ca="1" si="14"/>
        <v>0.35</v>
      </c>
      <c r="M52" s="79">
        <f t="shared" ca="1" si="14"/>
        <v>0.35</v>
      </c>
      <c r="N52" s="79">
        <f t="shared" ca="1" si="14"/>
        <v>0.35</v>
      </c>
      <c r="O52" s="79">
        <f t="shared" ca="1" si="14"/>
        <v>0.35</v>
      </c>
      <c r="P52" s="79">
        <f t="shared" ca="1" si="14"/>
        <v>0</v>
      </c>
      <c r="Q52" s="78">
        <f t="shared" ca="1" si="14"/>
        <v>0</v>
      </c>
      <c r="R52" s="79">
        <f t="shared" ca="1" si="14"/>
        <v>0.35</v>
      </c>
      <c r="S52" s="78">
        <f t="shared" ca="1" si="14"/>
        <v>0.35</v>
      </c>
      <c r="T52" s="78">
        <f t="shared" ca="1" si="14"/>
        <v>0.35</v>
      </c>
      <c r="U52" s="79">
        <f t="shared" ca="1" si="14"/>
        <v>0.35</v>
      </c>
      <c r="V52" s="79">
        <f t="shared" ca="1" si="14"/>
        <v>0.35</v>
      </c>
      <c r="W52" s="79">
        <f t="shared" ca="1" si="14"/>
        <v>0</v>
      </c>
      <c r="X52" s="78">
        <f t="shared" ca="1" si="14"/>
        <v>0</v>
      </c>
      <c r="Y52" s="79">
        <f t="shared" ca="1" si="14"/>
        <v>0.35</v>
      </c>
      <c r="Z52" s="80">
        <f t="shared" ca="1" si="14"/>
        <v>0.35</v>
      </c>
      <c r="AA52" s="79">
        <f t="shared" ca="1" si="14"/>
        <v>0.35</v>
      </c>
      <c r="AB52" s="79">
        <f t="shared" ca="1" si="14"/>
        <v>0.35</v>
      </c>
      <c r="AC52" s="79">
        <f t="shared" ca="1" si="14"/>
        <v>0.35</v>
      </c>
      <c r="AD52" s="79">
        <f t="shared" ca="1" si="14"/>
        <v>0</v>
      </c>
      <c r="AE52" s="78">
        <f t="shared" ca="1" si="14"/>
        <v>0</v>
      </c>
      <c r="AF52" s="79">
        <f t="shared" ca="1" si="14"/>
        <v>0.35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</v>
      </c>
      <c r="C53" s="239">
        <f t="shared" ca="1" si="15"/>
        <v>0</v>
      </c>
      <c r="D53" s="239">
        <f t="shared" ca="1" si="15"/>
        <v>0.35</v>
      </c>
      <c r="E53" s="239">
        <f t="shared" ca="1" si="15"/>
        <v>0.35</v>
      </c>
      <c r="F53" s="239">
        <f t="shared" ca="1" si="15"/>
        <v>0.35</v>
      </c>
      <c r="G53" s="239">
        <f t="shared" ca="1" si="15"/>
        <v>0.35</v>
      </c>
      <c r="H53" s="239">
        <f t="shared" ca="1" si="15"/>
        <v>0.35</v>
      </c>
      <c r="I53" s="239">
        <f t="shared" ca="1" si="15"/>
        <v>0</v>
      </c>
      <c r="J53" s="239">
        <f t="shared" ca="1" si="15"/>
        <v>0</v>
      </c>
      <c r="K53" s="239">
        <f t="shared" ca="1" si="15"/>
        <v>0.35</v>
      </c>
      <c r="L53" s="239">
        <f t="shared" ca="1" si="15"/>
        <v>0.35</v>
      </c>
      <c r="M53" s="239">
        <f t="shared" ca="1" si="15"/>
        <v>0.35</v>
      </c>
      <c r="N53" s="239">
        <f t="shared" ca="1" si="15"/>
        <v>0.35</v>
      </c>
      <c r="O53" s="239">
        <f t="shared" ca="1" si="15"/>
        <v>0.35</v>
      </c>
      <c r="P53" s="239">
        <f t="shared" ca="1" si="15"/>
        <v>0</v>
      </c>
      <c r="Q53" s="239">
        <f t="shared" ca="1" si="15"/>
        <v>0</v>
      </c>
      <c r="R53" s="239">
        <f t="shared" ca="1" si="15"/>
        <v>0.35</v>
      </c>
      <c r="S53" s="239">
        <f t="shared" ca="1" si="15"/>
        <v>0.35</v>
      </c>
      <c r="T53" s="239">
        <f t="shared" ca="1" si="15"/>
        <v>0.35</v>
      </c>
      <c r="U53" s="239">
        <f t="shared" ca="1" si="15"/>
        <v>0.35</v>
      </c>
      <c r="V53" s="239">
        <f t="shared" ca="1" si="15"/>
        <v>0.35</v>
      </c>
      <c r="W53" s="239">
        <f t="shared" ca="1" si="15"/>
        <v>0</v>
      </c>
      <c r="X53" s="239">
        <f t="shared" ca="1" si="15"/>
        <v>0</v>
      </c>
      <c r="Y53" s="239">
        <f t="shared" ca="1" si="15"/>
        <v>0.35</v>
      </c>
      <c r="Z53" s="239">
        <f t="shared" ca="1" si="15"/>
        <v>0.35</v>
      </c>
      <c r="AA53" s="239">
        <f t="shared" ca="1" si="15"/>
        <v>0.35</v>
      </c>
      <c r="AB53" s="239">
        <f t="shared" ca="1" si="15"/>
        <v>0.35</v>
      </c>
      <c r="AC53" s="239">
        <f t="shared" ca="1" si="15"/>
        <v>0.35</v>
      </c>
      <c r="AD53" s="239">
        <f t="shared" ca="1" si="15"/>
        <v>0</v>
      </c>
      <c r="AE53" s="239">
        <f t="shared" ca="1" si="15"/>
        <v>0</v>
      </c>
      <c r="AF53" s="239">
        <f t="shared" ca="1" si="15"/>
        <v>0.35</v>
      </c>
      <c r="AG53" s="204" t="str">
        <f t="shared" si="2"/>
        <v>Arbeitszeit SOLL gem. BG</v>
      </c>
      <c r="AH53" s="217"/>
      <c r="AI53" s="237">
        <f ca="1">SUM(B53:AF53)</f>
        <v>7.349999999999997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</v>
      </c>
      <c r="C54" s="239">
        <f t="shared" ca="1" si="16"/>
        <v>0</v>
      </c>
      <c r="D54" s="240">
        <f t="shared" ca="1" si="16"/>
        <v>0.35</v>
      </c>
      <c r="E54" s="239">
        <f t="shared" ca="1" si="16"/>
        <v>0.35</v>
      </c>
      <c r="F54" s="240">
        <f t="shared" ca="1" si="16"/>
        <v>0.35</v>
      </c>
      <c r="G54" s="240">
        <f t="shared" ca="1" si="16"/>
        <v>0.35</v>
      </c>
      <c r="H54" s="240">
        <f t="shared" ca="1" si="16"/>
        <v>0.35</v>
      </c>
      <c r="I54" s="240">
        <f t="shared" ca="1" si="16"/>
        <v>0</v>
      </c>
      <c r="J54" s="239">
        <f t="shared" ca="1" si="16"/>
        <v>0</v>
      </c>
      <c r="K54" s="240">
        <f t="shared" ca="1" si="16"/>
        <v>0.35</v>
      </c>
      <c r="L54" s="239">
        <f t="shared" ca="1" si="16"/>
        <v>0.35</v>
      </c>
      <c r="M54" s="240">
        <f t="shared" ca="1" si="16"/>
        <v>0.35</v>
      </c>
      <c r="N54" s="240">
        <f t="shared" ca="1" si="16"/>
        <v>0.35</v>
      </c>
      <c r="O54" s="240">
        <f t="shared" ca="1" si="16"/>
        <v>0.35</v>
      </c>
      <c r="P54" s="240">
        <f t="shared" ca="1" si="16"/>
        <v>0</v>
      </c>
      <c r="Q54" s="239">
        <f t="shared" ca="1" si="16"/>
        <v>0</v>
      </c>
      <c r="R54" s="240">
        <f t="shared" ca="1" si="16"/>
        <v>0.35</v>
      </c>
      <c r="S54" s="239">
        <f t="shared" ca="1" si="16"/>
        <v>0.35</v>
      </c>
      <c r="T54" s="239">
        <f t="shared" ca="1" si="16"/>
        <v>0.35</v>
      </c>
      <c r="U54" s="240">
        <f t="shared" ca="1" si="16"/>
        <v>0.35</v>
      </c>
      <c r="V54" s="240">
        <f t="shared" ca="1" si="16"/>
        <v>0.35</v>
      </c>
      <c r="W54" s="240">
        <f t="shared" ca="1" si="16"/>
        <v>0</v>
      </c>
      <c r="X54" s="239">
        <f t="shared" ca="1" si="16"/>
        <v>0</v>
      </c>
      <c r="Y54" s="240">
        <f t="shared" ca="1" si="16"/>
        <v>0.35</v>
      </c>
      <c r="Z54" s="241">
        <f t="shared" ca="1" si="16"/>
        <v>0.35</v>
      </c>
      <c r="AA54" s="240">
        <f t="shared" ca="1" si="16"/>
        <v>0.35</v>
      </c>
      <c r="AB54" s="240">
        <f t="shared" ca="1" si="16"/>
        <v>0.35</v>
      </c>
      <c r="AC54" s="240">
        <f t="shared" ca="1" si="16"/>
        <v>0.35</v>
      </c>
      <c r="AD54" s="240">
        <f t="shared" ca="1" si="16"/>
        <v>0</v>
      </c>
      <c r="AE54" s="239">
        <f t="shared" ca="1" si="16"/>
        <v>0</v>
      </c>
      <c r="AF54" s="240">
        <f t="shared" ca="1" si="16"/>
        <v>0.35</v>
      </c>
      <c r="AG54" s="204" t="str">
        <f t="shared" si="2"/>
        <v>Arbeitszeit SOLL 100%</v>
      </c>
      <c r="AH54" s="217"/>
      <c r="AI54" s="237">
        <f ca="1">SUM(B54:AF54)</f>
        <v>7.349999999999997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0</v>
      </c>
      <c r="C55" s="233">
        <f t="shared" ref="C55:AF55" ca="1" si="17">ROUND((C51-C53)*1440,0)/1440</f>
        <v>0</v>
      </c>
      <c r="D55" s="233">
        <f t="shared" ca="1" si="17"/>
        <v>-0.35</v>
      </c>
      <c r="E55" s="235">
        <f t="shared" ca="1" si="17"/>
        <v>-0.35</v>
      </c>
      <c r="F55" s="233">
        <f t="shared" ca="1" si="17"/>
        <v>-0.35</v>
      </c>
      <c r="G55" s="233">
        <f t="shared" ca="1" si="17"/>
        <v>-0.35</v>
      </c>
      <c r="H55" s="233">
        <f t="shared" ca="1" si="17"/>
        <v>-0.35</v>
      </c>
      <c r="I55" s="233">
        <f t="shared" ca="1" si="17"/>
        <v>0</v>
      </c>
      <c r="J55" s="235">
        <f t="shared" ca="1" si="17"/>
        <v>0</v>
      </c>
      <c r="K55" s="233">
        <f t="shared" ca="1" si="17"/>
        <v>-0.35</v>
      </c>
      <c r="L55" s="235">
        <f t="shared" ca="1" si="17"/>
        <v>-0.35</v>
      </c>
      <c r="M55" s="233">
        <f t="shared" ca="1" si="17"/>
        <v>-0.35</v>
      </c>
      <c r="N55" s="233">
        <f t="shared" ca="1" si="17"/>
        <v>-0.35</v>
      </c>
      <c r="O55" s="233">
        <f t="shared" ca="1" si="17"/>
        <v>-0.35</v>
      </c>
      <c r="P55" s="233">
        <f t="shared" ca="1" si="17"/>
        <v>0</v>
      </c>
      <c r="Q55" s="235">
        <f t="shared" ca="1" si="17"/>
        <v>0</v>
      </c>
      <c r="R55" s="233">
        <f t="shared" ca="1" si="17"/>
        <v>-0.35</v>
      </c>
      <c r="S55" s="235">
        <f t="shared" ca="1" si="17"/>
        <v>-0.35</v>
      </c>
      <c r="T55" s="235">
        <f t="shared" ca="1" si="17"/>
        <v>-0.35</v>
      </c>
      <c r="U55" s="233">
        <f t="shared" ca="1" si="17"/>
        <v>-0.35</v>
      </c>
      <c r="V55" s="233">
        <f t="shared" ca="1" si="17"/>
        <v>-0.35</v>
      </c>
      <c r="W55" s="233">
        <f t="shared" ca="1" si="17"/>
        <v>0</v>
      </c>
      <c r="X55" s="235">
        <f t="shared" ca="1" si="17"/>
        <v>0</v>
      </c>
      <c r="Y55" s="233">
        <f t="shared" ca="1" si="17"/>
        <v>-0.35</v>
      </c>
      <c r="Z55" s="236">
        <f t="shared" ca="1" si="17"/>
        <v>-0.35</v>
      </c>
      <c r="AA55" s="233">
        <f t="shared" ca="1" si="17"/>
        <v>-0.35</v>
      </c>
      <c r="AB55" s="233">
        <f t="shared" ca="1" si="17"/>
        <v>-0.35</v>
      </c>
      <c r="AC55" s="233">
        <f t="shared" ca="1" si="17"/>
        <v>-0.35</v>
      </c>
      <c r="AD55" s="233">
        <f t="shared" ca="1" si="17"/>
        <v>0</v>
      </c>
      <c r="AE55" s="235">
        <f t="shared" ca="1" si="17"/>
        <v>0</v>
      </c>
      <c r="AF55" s="233">
        <f t="shared" ca="1" si="17"/>
        <v>-0.35</v>
      </c>
      <c r="AG55" s="204" t="str">
        <f t="shared" si="2"/>
        <v>+/- SOLL/IST täglich</v>
      </c>
      <c r="AH55" s="217"/>
      <c r="AI55" s="237">
        <f ca="1">SUM(B55:AF55)</f>
        <v>-7.349999999999997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-7.5249999999999968</v>
      </c>
      <c r="AM55" s="208"/>
      <c r="AN55" s="244">
        <f ca="1">IF(AH57="+",(AI55+AI57),(AI55-AI57))</f>
        <v>-7.349999999999997</v>
      </c>
      <c r="AO55" s="244">
        <f ca="1">SUM(OFFSET(J.AZSaldo.Total,-12,0,MONTH(Monat.Tag1),1))</f>
        <v>-73.299999999999969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0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0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0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0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0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0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0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0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1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0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0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1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3.9375</v>
      </c>
      <c r="AM67" s="208"/>
      <c r="AN67" s="244">
        <f ca="1">AK67+AL67-Monat.KomAZ.Total</f>
        <v>4.375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 t="str">
        <f t="shared" ref="B82:AF82" ca="1" si="30">IF(B$12=0,"",IF(OR(WEEKDAY(B$10,2)&gt;5,B$11=0),
IF(T.50_NoVetsuisse,B45,
IF(OR(T.50_Vetsuisse,T.ServiceCenterIrchel,T.MedizinischeMikrobiologie),IF(B23-B73=0,"",B23-B73),
B60)),))</f>
        <v/>
      </c>
      <c r="C82" s="278" t="str">
        <f t="shared" ca="1" si="30"/>
        <v/>
      </c>
      <c r="D82" s="279">
        <f t="shared" ca="1" si="30"/>
        <v>0</v>
      </c>
      <c r="E82" s="278">
        <f t="shared" ca="1" si="30"/>
        <v>0</v>
      </c>
      <c r="F82" s="279">
        <f t="shared" ca="1" si="30"/>
        <v>0</v>
      </c>
      <c r="G82" s="279">
        <f t="shared" ca="1" si="30"/>
        <v>0</v>
      </c>
      <c r="H82" s="279">
        <f t="shared" ca="1" si="30"/>
        <v>0</v>
      </c>
      <c r="I82" s="279" t="str">
        <f t="shared" ca="1" si="30"/>
        <v/>
      </c>
      <c r="J82" s="278" t="str">
        <f t="shared" ca="1" si="30"/>
        <v/>
      </c>
      <c r="K82" s="279">
        <f t="shared" ca="1" si="30"/>
        <v>0</v>
      </c>
      <c r="L82" s="278">
        <f t="shared" ca="1" si="30"/>
        <v>0</v>
      </c>
      <c r="M82" s="279">
        <f t="shared" ca="1" si="30"/>
        <v>0</v>
      </c>
      <c r="N82" s="279">
        <f t="shared" ca="1" si="30"/>
        <v>0</v>
      </c>
      <c r="O82" s="279">
        <f t="shared" ca="1" si="30"/>
        <v>0</v>
      </c>
      <c r="P82" s="279" t="str">
        <f t="shared" ca="1" si="30"/>
        <v/>
      </c>
      <c r="Q82" s="278" t="str">
        <f t="shared" ca="1" si="30"/>
        <v/>
      </c>
      <c r="R82" s="279">
        <f t="shared" ca="1" si="30"/>
        <v>0</v>
      </c>
      <c r="S82" s="278">
        <f t="shared" ca="1" si="30"/>
        <v>0</v>
      </c>
      <c r="T82" s="278">
        <f t="shared" ca="1" si="30"/>
        <v>0</v>
      </c>
      <c r="U82" s="279">
        <f t="shared" ca="1" si="30"/>
        <v>0</v>
      </c>
      <c r="V82" s="279">
        <f t="shared" ca="1" si="30"/>
        <v>0</v>
      </c>
      <c r="W82" s="279" t="str">
        <f t="shared" ca="1" si="30"/>
        <v/>
      </c>
      <c r="X82" s="278" t="str">
        <f t="shared" ca="1" si="30"/>
        <v/>
      </c>
      <c r="Y82" s="279">
        <f t="shared" ca="1" si="30"/>
        <v>0</v>
      </c>
      <c r="Z82" s="280">
        <f t="shared" ca="1" si="30"/>
        <v>0</v>
      </c>
      <c r="AA82" s="279">
        <f t="shared" ca="1" si="30"/>
        <v>0</v>
      </c>
      <c r="AB82" s="279">
        <f t="shared" ca="1" si="30"/>
        <v>0</v>
      </c>
      <c r="AC82" s="279">
        <f t="shared" ca="1" si="30"/>
        <v>0</v>
      </c>
      <c r="AD82" s="279" t="str">
        <f t="shared" ca="1" si="30"/>
        <v/>
      </c>
      <c r="AE82" s="278" t="str">
        <f t="shared" ca="1" si="30"/>
        <v/>
      </c>
      <c r="AF82" s="279">
        <f t="shared" ca="1" si="30"/>
        <v>0</v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93" priority="16">
      <formula>ABS(B$114)&gt;=ROUND(1/24/60,9)</formula>
    </cfRule>
  </conditionalFormatting>
  <conditionalFormatting sqref="B13:AF22 B34:AF44 B25:AF30 B60:AF61 B67:AF67 B71:AF72 B84:AF84 B86:AF95 B97:AF111">
    <cfRule type="expression" dxfId="92" priority="14">
      <formula>WEEKDAY(B$10,2)&gt;5</formula>
    </cfRule>
    <cfRule type="expression" dxfId="91" priority="15">
      <formula>AND(NOT(ISERROR(MATCH(B$10,T.Feiertage.Bereich,0))),OFFSET(T.Feiertage.Bereich,MATCH(B$10,T.Feiertage.Bereich,0)-1,1,1,1)&gt;0)</formula>
    </cfRule>
    <cfRule type="expression" dxfId="90" priority="17">
      <formula>B$11=0</formula>
    </cfRule>
  </conditionalFormatting>
  <conditionalFormatting sqref="AN60:AO60">
    <cfRule type="expression" dxfId="89" priority="22">
      <formula>AND(T.50_Vetsuisse,AN60&gt;=T.GrenzeAngÜZ50_Vetsuisse)</formula>
    </cfRule>
    <cfRule type="expression" dxfId="88" priority="23">
      <formula>AND(T.50_Vetsuisse,AN60&gt;T.GrenzeAngÜZ50_Vetsuisse*T.AngÜZ50_Vetsuisse_orange)</formula>
    </cfRule>
  </conditionalFormatting>
  <conditionalFormatting sqref="B56:AF56">
    <cfRule type="expression" dxfId="87" priority="8">
      <formula>AND(B$10&gt;TODAY(),EB.UJAustritt="")</formula>
    </cfRule>
    <cfRule type="expression" dxfId="86" priority="9">
      <formula>B$56&gt;99.99/24</formula>
    </cfRule>
    <cfRule type="expression" dxfId="85" priority="11">
      <formula>B$56&lt;99.99/24*-1</formula>
    </cfRule>
  </conditionalFormatting>
  <conditionalFormatting sqref="AO55:AP55">
    <cfRule type="cellIs" dxfId="84" priority="24" operator="greaterThan">
      <formula>1/24/60</formula>
    </cfRule>
    <cfRule type="expression" dxfId="83" priority="25">
      <formula>AND(AO55&lt;=1/24/60*-1,TODAY()&gt;=DATE(EB.Jahr,MONTH(12),DAY(31)))</formula>
    </cfRule>
  </conditionalFormatting>
  <conditionalFormatting sqref="B56:AF56 AI58">
    <cfRule type="expression" dxfId="82" priority="10">
      <formula>B$56&gt;1/24/60</formula>
    </cfRule>
    <cfRule type="expression" dxfId="81" priority="12">
      <formula>AND(B$56&lt;=1/24/60*-1,B$56)</formula>
    </cfRule>
  </conditionalFormatting>
  <conditionalFormatting sqref="B14:AF22 B36:AF44 B26:AF30">
    <cfRule type="expression" dxfId="80" priority="6">
      <formula>AND(B14&lt;B13,B14&lt;&gt;"")</formula>
    </cfRule>
  </conditionalFormatting>
  <conditionalFormatting sqref="B72:AF73">
    <cfRule type="expression" dxfId="79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78" priority="18">
      <formula>$P$4&lt;&gt;""</formula>
    </cfRule>
  </conditionalFormatting>
  <conditionalFormatting sqref="V4">
    <cfRule type="expression" dxfId="77" priority="19">
      <formula>$V$4&lt;&gt;""</formula>
    </cfRule>
  </conditionalFormatting>
  <conditionalFormatting sqref="AP60">
    <cfRule type="expression" dxfId="76" priority="26">
      <formula>AND(T.50_Vetsuisse,AP60&gt;=T.GrenzeAngÜZ50_Vetsuisse)</formula>
    </cfRule>
    <cfRule type="expression" dxfId="75" priority="27">
      <formula>AND(T.50_Vetsuisse,AP60&gt;T.GrenzeAngÜZ50_Vetsuisse*T.AngÜZ50_Vetsuisse_orange)</formula>
    </cfRule>
  </conditionalFormatting>
  <conditionalFormatting sqref="AJ72:AJ73">
    <cfRule type="expression" dxfId="74" priority="20">
      <formula>AND(T.50_Vetsuisse,$AJ$72&lt;&gt;$AJ$73)</formula>
    </cfRule>
    <cfRule type="expression" dxfId="73" priority="21">
      <formula>$AJ$72&gt;$AJ$73</formula>
    </cfRule>
  </conditionalFormatting>
  <conditionalFormatting sqref="B55:AF55">
    <cfRule type="expression" dxfId="72" priority="7">
      <formula>AND(B$10&lt;=TODAY(),B$55&lt;1/24/60*-1)</formula>
    </cfRule>
  </conditionalFormatting>
  <conditionalFormatting sqref="AG67 AG84">
    <cfRule type="expression" dxfId="71" priority="5">
      <formula>AG67&lt;&gt;A67</formula>
    </cfRule>
  </conditionalFormatting>
  <conditionalFormatting sqref="B67:AF67">
    <cfRule type="expression" dxfId="70" priority="4">
      <formula>AND(B66=0,B67&gt;0)</formula>
    </cfRule>
  </conditionalFormatting>
  <conditionalFormatting sqref="B34:AF34">
    <cfRule type="expression" dxfId="69" priority="3">
      <formula>T.MedizinischeMikrobiologie</formula>
    </cfRule>
  </conditionalFormatting>
  <conditionalFormatting sqref="AK51">
    <cfRule type="expression" dxfId="68" priority="2">
      <formula>ISNUMBER(AK51)</formula>
    </cfRule>
  </conditionalFormatting>
  <conditionalFormatting sqref="AN51">
    <cfRule type="expression" dxfId="67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BA39DC6D-3EBB-44A7-B9EA-382C270B6DB0}">
      <formula1>T.JaNein.Bereich</formula1>
    </dataValidation>
    <dataValidation type="list" allowBlank="1" showInputMessage="1" showErrorMessage="1" errorTitle="Pikett Bereitschaft" error="Bitte wählen Sie einen Wert aus der Liste." sqref="B34:AF34" xr:uid="{26841564-0597-4C9E-90BB-94FBE11838AC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0BCE-527F-4339-BBF3-801EBAB70F4C}">
  <sheetPr>
    <pageSetUpPr autoPageBreaks="0" fitToPage="1"/>
  </sheetPr>
  <dimension ref="A1:AP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1" width="5.75" style="50" customWidth="1"/>
    <col min="32" max="32" width="24.5" style="52" customWidth="1"/>
    <col min="33" max="33" width="2.125" style="53" customWidth="1"/>
    <col min="34" max="35" width="8.125" style="50" customWidth="1"/>
    <col min="36" max="36" width="15.875" style="50" hidden="1" customWidth="1" outlineLevel="1"/>
    <col min="37" max="38" width="14.25" style="50" hidden="1" customWidth="1" outlineLevel="1"/>
    <col min="39" max="39" width="9.375" style="37" customWidth="1" collapsed="1"/>
    <col min="40" max="41" width="8.125" style="50" customWidth="1"/>
    <col min="42" max="42" width="3.75" style="50" customWidth="1"/>
    <col min="43" max="16384" width="10.75" style="50"/>
  </cols>
  <sheetData>
    <row r="1" spans="1:42" s="54" customFormat="1" ht="22.5" customHeight="1" x14ac:dyDescent="0.2">
      <c r="A1" s="180" t="str">
        <f>INDEX(EB.Monate.Bereich,MONTH(Monat.Tag1)) &amp; " " &amp; EB.Jahr</f>
        <v>November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83"/>
      <c r="AG1" s="184"/>
      <c r="AH1" s="100"/>
      <c r="AI1" s="100"/>
      <c r="AJ1" s="100"/>
      <c r="AK1" s="100"/>
      <c r="AL1" s="100"/>
      <c r="AM1" s="439"/>
      <c r="AN1" s="497" t="str">
        <f>EB.Version</f>
        <v>Version 12.21</v>
      </c>
      <c r="AO1" s="497"/>
      <c r="AP1" s="102" t="str">
        <f>EB.Sprache</f>
        <v>DE</v>
      </c>
    </row>
    <row r="2" spans="1:42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05"/>
      <c r="AG2" s="187"/>
      <c r="AH2" s="118"/>
      <c r="AI2" s="118"/>
      <c r="AJ2" s="118"/>
      <c r="AK2" s="118"/>
      <c r="AL2" s="118"/>
      <c r="AM2" s="188"/>
      <c r="AN2" s="118"/>
      <c r="AO2" s="118"/>
      <c r="AP2" s="118"/>
    </row>
    <row r="3" spans="1:42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05"/>
      <c r="AG3" s="187"/>
      <c r="AH3" s="118"/>
      <c r="AI3" s="118"/>
      <c r="AJ3" s="118"/>
      <c r="AK3" s="118"/>
      <c r="AL3" s="118"/>
      <c r="AM3" s="188"/>
      <c r="AN3" s="118"/>
      <c r="AO3" s="118"/>
      <c r="AP3" s="118"/>
    </row>
    <row r="4" spans="1:42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05"/>
      <c r="AG4" s="187"/>
      <c r="AH4" s="118"/>
      <c r="AI4" s="118"/>
      <c r="AJ4" s="118"/>
      <c r="AK4" s="118"/>
      <c r="AL4" s="118"/>
      <c r="AM4" s="188"/>
      <c r="AN4" s="118"/>
      <c r="AO4" s="118"/>
      <c r="AP4" s="118"/>
    </row>
    <row r="5" spans="1:42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November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05"/>
      <c r="AG5" s="187"/>
      <c r="AH5" s="118"/>
      <c r="AI5" s="118"/>
      <c r="AJ5" s="118"/>
      <c r="AK5" s="118"/>
      <c r="AL5" s="118"/>
      <c r="AM5" s="188"/>
      <c r="AN5" s="118"/>
      <c r="AO5" s="118"/>
      <c r="AP5" s="118"/>
    </row>
    <row r="6" spans="1:42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05"/>
      <c r="AG6" s="187"/>
      <c r="AH6" s="118"/>
      <c r="AI6" s="118"/>
      <c r="AJ6" s="118"/>
      <c r="AK6" s="118"/>
      <c r="AL6" s="118"/>
      <c r="AM6" s="188"/>
      <c r="AN6" s="118"/>
      <c r="AO6" s="118"/>
      <c r="AP6" s="118"/>
    </row>
    <row r="7" spans="1:42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05"/>
      <c r="AG7" s="187"/>
      <c r="AH7" s="118"/>
      <c r="AI7" s="118"/>
      <c r="AJ7" s="118"/>
      <c r="AK7" s="118"/>
      <c r="AL7" s="118"/>
      <c r="AM7" s="188"/>
      <c r="AN7" s="118"/>
      <c r="AO7" s="118"/>
      <c r="AP7" s="118"/>
    </row>
    <row r="8" spans="1:42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05"/>
      <c r="AG8" s="187"/>
      <c r="AH8" s="118"/>
      <c r="AI8" s="118"/>
      <c r="AJ8" s="118"/>
      <c r="AK8" s="118"/>
      <c r="AL8" s="118"/>
      <c r="AM8" s="188"/>
      <c r="AN8" s="118"/>
      <c r="AO8" s="118"/>
      <c r="AP8" s="118"/>
    </row>
    <row r="9" spans="1:42" s="38" customFormat="1" ht="15" customHeight="1" x14ac:dyDescent="0.2">
      <c r="A9" s="134"/>
      <c r="B9" s="194" t="str">
        <f t="shared" ref="B9:AE9" si="0">INDEX(Monat.Wochentage.Bereich,1,WEEKDAY(B10,2))</f>
        <v>Di</v>
      </c>
      <c r="C9" s="194" t="str">
        <f t="shared" si="0"/>
        <v>Mi</v>
      </c>
      <c r="D9" s="194" t="str">
        <f t="shared" si="0"/>
        <v>Do</v>
      </c>
      <c r="E9" s="194" t="str">
        <f t="shared" si="0"/>
        <v>Fr</v>
      </c>
      <c r="F9" s="194" t="str">
        <f t="shared" si="0"/>
        <v>Sa</v>
      </c>
      <c r="G9" s="194" t="str">
        <f t="shared" si="0"/>
        <v>So</v>
      </c>
      <c r="H9" s="194" t="str">
        <f t="shared" si="0"/>
        <v>Mo</v>
      </c>
      <c r="I9" s="194" t="str">
        <f t="shared" si="0"/>
        <v>Di</v>
      </c>
      <c r="J9" s="194" t="str">
        <f t="shared" si="0"/>
        <v>Mi</v>
      </c>
      <c r="K9" s="194" t="str">
        <f t="shared" si="0"/>
        <v>Do</v>
      </c>
      <c r="L9" s="194" t="str">
        <f t="shared" si="0"/>
        <v>Fr</v>
      </c>
      <c r="M9" s="194" t="str">
        <f t="shared" si="0"/>
        <v>Sa</v>
      </c>
      <c r="N9" s="194" t="str">
        <f t="shared" si="0"/>
        <v>So</v>
      </c>
      <c r="O9" s="194" t="str">
        <f t="shared" si="0"/>
        <v>Mo</v>
      </c>
      <c r="P9" s="194" t="str">
        <f t="shared" si="0"/>
        <v>Di</v>
      </c>
      <c r="Q9" s="194" t="str">
        <f t="shared" si="0"/>
        <v>Mi</v>
      </c>
      <c r="R9" s="194" t="str">
        <f t="shared" si="0"/>
        <v>Do</v>
      </c>
      <c r="S9" s="194" t="str">
        <f t="shared" si="0"/>
        <v>Fr</v>
      </c>
      <c r="T9" s="194" t="str">
        <f t="shared" si="0"/>
        <v>Sa</v>
      </c>
      <c r="U9" s="194" t="str">
        <f t="shared" si="0"/>
        <v>So</v>
      </c>
      <c r="V9" s="194" t="str">
        <f t="shared" si="0"/>
        <v>Mo</v>
      </c>
      <c r="W9" s="194" t="str">
        <f t="shared" si="0"/>
        <v>Di</v>
      </c>
      <c r="X9" s="194" t="str">
        <f t="shared" si="0"/>
        <v>Mi</v>
      </c>
      <c r="Y9" s="194" t="str">
        <f t="shared" si="0"/>
        <v>Do</v>
      </c>
      <c r="Z9" s="194" t="str">
        <f t="shared" si="0"/>
        <v>Fr</v>
      </c>
      <c r="AA9" s="194" t="str">
        <f t="shared" si="0"/>
        <v>Sa</v>
      </c>
      <c r="AB9" s="194" t="str">
        <f t="shared" si="0"/>
        <v>So</v>
      </c>
      <c r="AC9" s="194" t="str">
        <f t="shared" si="0"/>
        <v>Mo</v>
      </c>
      <c r="AD9" s="194" t="str">
        <f t="shared" si="0"/>
        <v>Di</v>
      </c>
      <c r="AE9" s="194" t="str">
        <f t="shared" si="0"/>
        <v>Mi</v>
      </c>
      <c r="AF9" s="105"/>
      <c r="AG9" s="187"/>
      <c r="AH9" s="118"/>
      <c r="AI9" s="118"/>
      <c r="AJ9" s="118"/>
      <c r="AK9" s="118"/>
      <c r="AL9" s="118"/>
      <c r="AM9" s="188"/>
      <c r="AN9" s="118"/>
      <c r="AO9" s="118"/>
      <c r="AP9" s="118"/>
    </row>
    <row r="10" spans="1:42" s="59" customFormat="1" ht="25.5" x14ac:dyDescent="0.2">
      <c r="A10" s="195" t="s">
        <v>15</v>
      </c>
      <c r="B10" s="196">
        <v>43404</v>
      </c>
      <c r="C10" s="196">
        <f>B10+1</f>
        <v>43405</v>
      </c>
      <c r="D10" s="196">
        <f t="shared" ref="D10:AE10" si="1">C10+1</f>
        <v>43406</v>
      </c>
      <c r="E10" s="196">
        <f t="shared" si="1"/>
        <v>43407</v>
      </c>
      <c r="F10" s="196">
        <f t="shared" si="1"/>
        <v>43408</v>
      </c>
      <c r="G10" s="196">
        <f t="shared" si="1"/>
        <v>43409</v>
      </c>
      <c r="H10" s="196">
        <f t="shared" si="1"/>
        <v>43410</v>
      </c>
      <c r="I10" s="196">
        <f t="shared" si="1"/>
        <v>43411</v>
      </c>
      <c r="J10" s="196">
        <f t="shared" si="1"/>
        <v>43412</v>
      </c>
      <c r="K10" s="196">
        <f t="shared" si="1"/>
        <v>43413</v>
      </c>
      <c r="L10" s="196">
        <f t="shared" si="1"/>
        <v>43414</v>
      </c>
      <c r="M10" s="196">
        <f t="shared" si="1"/>
        <v>43415</v>
      </c>
      <c r="N10" s="196">
        <f t="shared" si="1"/>
        <v>43416</v>
      </c>
      <c r="O10" s="196">
        <f t="shared" si="1"/>
        <v>43417</v>
      </c>
      <c r="P10" s="196">
        <f t="shared" si="1"/>
        <v>43418</v>
      </c>
      <c r="Q10" s="196">
        <f t="shared" si="1"/>
        <v>43419</v>
      </c>
      <c r="R10" s="196">
        <f t="shared" si="1"/>
        <v>43420</v>
      </c>
      <c r="S10" s="196">
        <f t="shared" si="1"/>
        <v>43421</v>
      </c>
      <c r="T10" s="196">
        <f t="shared" si="1"/>
        <v>43422</v>
      </c>
      <c r="U10" s="196">
        <f t="shared" si="1"/>
        <v>43423</v>
      </c>
      <c r="V10" s="196">
        <f t="shared" si="1"/>
        <v>43424</v>
      </c>
      <c r="W10" s="196">
        <f t="shared" si="1"/>
        <v>43425</v>
      </c>
      <c r="X10" s="196">
        <f t="shared" si="1"/>
        <v>43426</v>
      </c>
      <c r="Y10" s="196">
        <f t="shared" si="1"/>
        <v>43427</v>
      </c>
      <c r="Z10" s="196">
        <f t="shared" si="1"/>
        <v>43428</v>
      </c>
      <c r="AA10" s="196">
        <f t="shared" si="1"/>
        <v>43429</v>
      </c>
      <c r="AB10" s="196">
        <f t="shared" si="1"/>
        <v>43430</v>
      </c>
      <c r="AC10" s="196">
        <f t="shared" si="1"/>
        <v>43431</v>
      </c>
      <c r="AD10" s="196">
        <f t="shared" si="1"/>
        <v>43432</v>
      </c>
      <c r="AE10" s="196">
        <f t="shared" si="1"/>
        <v>43433</v>
      </c>
      <c r="AF10" s="197" t="str">
        <f>A10</f>
        <v>Tag</v>
      </c>
      <c r="AG10" s="485" t="str">
        <f>"Total " &amp; INDEX(EB.Monate.Bereich,MONTH(Monat.Tag1))</f>
        <v>Total November</v>
      </c>
      <c r="AH10" s="486"/>
      <c r="AI10" s="440" t="s">
        <v>232</v>
      </c>
      <c r="AJ10" s="198" t="s">
        <v>141</v>
      </c>
      <c r="AK10" s="198" t="s">
        <v>32</v>
      </c>
      <c r="AL10" s="198" t="s">
        <v>224</v>
      </c>
      <c r="AM10" s="199" t="s">
        <v>35</v>
      </c>
      <c r="AN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O10" s="488"/>
      <c r="AP10" s="200"/>
    </row>
    <row r="11" spans="1:42" s="59" customFormat="1" ht="12" hidden="1" customHeight="1" x14ac:dyDescent="0.2">
      <c r="A11" s="195" t="s">
        <v>181</v>
      </c>
      <c r="B11" s="201">
        <f t="shared" ref="B11:AE11" ca="1" si="2">IFERROR(OFFSET(T.Feiertage.Bereich,MATCH(B$10,T.Feiertage.Bereich,0)-1,1,1,1),1)</f>
        <v>1</v>
      </c>
      <c r="C11" s="201">
        <f t="shared" ca="1" si="2"/>
        <v>1</v>
      </c>
      <c r="D11" s="201">
        <f t="shared" ca="1" si="2"/>
        <v>1</v>
      </c>
      <c r="E11" s="202">
        <f t="shared" ca="1" si="2"/>
        <v>1</v>
      </c>
      <c r="F11" s="201">
        <f t="shared" ca="1" si="2"/>
        <v>1</v>
      </c>
      <c r="G11" s="201">
        <f t="shared" ca="1" si="2"/>
        <v>1</v>
      </c>
      <c r="H11" s="201">
        <f t="shared" ca="1" si="2"/>
        <v>1</v>
      </c>
      <c r="I11" s="201">
        <f t="shared" ca="1" si="2"/>
        <v>1</v>
      </c>
      <c r="J11" s="202">
        <f t="shared" ca="1" si="2"/>
        <v>1</v>
      </c>
      <c r="K11" s="201">
        <f t="shared" ca="1" si="2"/>
        <v>1</v>
      </c>
      <c r="L11" s="202">
        <f t="shared" ca="1" si="2"/>
        <v>1</v>
      </c>
      <c r="M11" s="201">
        <f t="shared" ca="1" si="2"/>
        <v>1</v>
      </c>
      <c r="N11" s="201">
        <f t="shared" ca="1" si="2"/>
        <v>1</v>
      </c>
      <c r="O11" s="201">
        <f t="shared" ca="1" si="2"/>
        <v>1</v>
      </c>
      <c r="P11" s="201">
        <f t="shared" ca="1" si="2"/>
        <v>1</v>
      </c>
      <c r="Q11" s="202">
        <f t="shared" ca="1" si="2"/>
        <v>1</v>
      </c>
      <c r="R11" s="201">
        <f t="shared" ca="1" si="2"/>
        <v>1</v>
      </c>
      <c r="S11" s="202">
        <f t="shared" ca="1" si="2"/>
        <v>1</v>
      </c>
      <c r="T11" s="202">
        <f t="shared" ca="1" si="2"/>
        <v>1</v>
      </c>
      <c r="U11" s="201">
        <f t="shared" ca="1" si="2"/>
        <v>1</v>
      </c>
      <c r="V11" s="201">
        <f t="shared" ca="1" si="2"/>
        <v>1</v>
      </c>
      <c r="W11" s="201">
        <f t="shared" ca="1" si="2"/>
        <v>1</v>
      </c>
      <c r="X11" s="202">
        <f t="shared" ca="1" si="2"/>
        <v>1</v>
      </c>
      <c r="Y11" s="201">
        <f t="shared" ca="1" si="2"/>
        <v>1</v>
      </c>
      <c r="Z11" s="203">
        <f t="shared" ca="1" si="2"/>
        <v>1</v>
      </c>
      <c r="AA11" s="201">
        <f t="shared" ca="1" si="2"/>
        <v>1</v>
      </c>
      <c r="AB11" s="201">
        <f t="shared" ca="1" si="2"/>
        <v>1</v>
      </c>
      <c r="AC11" s="201">
        <f t="shared" ca="1" si="2"/>
        <v>1</v>
      </c>
      <c r="AD11" s="201">
        <f t="shared" ca="1" si="2"/>
        <v>1</v>
      </c>
      <c r="AE11" s="202">
        <f t="shared" ca="1" si="2"/>
        <v>1</v>
      </c>
      <c r="AF11" s="204"/>
      <c r="AG11" s="187"/>
      <c r="AH11" s="205"/>
      <c r="AI11" s="206"/>
      <c r="AJ11" s="207"/>
      <c r="AK11" s="208"/>
      <c r="AL11" s="208"/>
      <c r="AM11" s="207"/>
      <c r="AN11" s="208"/>
      <c r="AO11" s="208"/>
      <c r="AP11" s="200"/>
    </row>
    <row r="12" spans="1:42" s="59" customFormat="1" ht="12" hidden="1" customHeight="1" x14ac:dyDescent="0.2">
      <c r="A12" s="195" t="s">
        <v>191</v>
      </c>
      <c r="B12" s="209">
        <f t="shared" ref="B12:AE12" si="3">IF(OR(AND(ISNUMBER(EB.UJEintritt),EB.UJEintritt&gt;=B$10+1),AND(ISNUMBER(EB.UJAustritt),EB.UJAustritt&lt;=B$10-1)),0,1)</f>
        <v>1</v>
      </c>
      <c r="C12" s="209">
        <f t="shared" si="3"/>
        <v>1</v>
      </c>
      <c r="D12" s="209">
        <f t="shared" si="3"/>
        <v>1</v>
      </c>
      <c r="E12" s="194">
        <f t="shared" si="3"/>
        <v>1</v>
      </c>
      <c r="F12" s="209">
        <f t="shared" si="3"/>
        <v>1</v>
      </c>
      <c r="G12" s="209">
        <f t="shared" si="3"/>
        <v>1</v>
      </c>
      <c r="H12" s="209">
        <f t="shared" si="3"/>
        <v>1</v>
      </c>
      <c r="I12" s="209">
        <f t="shared" si="3"/>
        <v>1</v>
      </c>
      <c r="J12" s="194">
        <f t="shared" si="3"/>
        <v>1</v>
      </c>
      <c r="K12" s="209">
        <f t="shared" si="3"/>
        <v>1</v>
      </c>
      <c r="L12" s="194">
        <f t="shared" si="3"/>
        <v>1</v>
      </c>
      <c r="M12" s="209">
        <f t="shared" si="3"/>
        <v>1</v>
      </c>
      <c r="N12" s="209">
        <f t="shared" si="3"/>
        <v>1</v>
      </c>
      <c r="O12" s="209">
        <f t="shared" si="3"/>
        <v>1</v>
      </c>
      <c r="P12" s="209">
        <f t="shared" si="3"/>
        <v>1</v>
      </c>
      <c r="Q12" s="194">
        <f t="shared" si="3"/>
        <v>1</v>
      </c>
      <c r="R12" s="209">
        <f t="shared" si="3"/>
        <v>1</v>
      </c>
      <c r="S12" s="194">
        <f t="shared" si="3"/>
        <v>1</v>
      </c>
      <c r="T12" s="194">
        <f t="shared" si="3"/>
        <v>1</v>
      </c>
      <c r="U12" s="209">
        <f t="shared" si="3"/>
        <v>1</v>
      </c>
      <c r="V12" s="209">
        <f t="shared" si="3"/>
        <v>1</v>
      </c>
      <c r="W12" s="209">
        <f t="shared" si="3"/>
        <v>1</v>
      </c>
      <c r="X12" s="194">
        <f t="shared" si="3"/>
        <v>1</v>
      </c>
      <c r="Y12" s="209">
        <f t="shared" si="3"/>
        <v>1</v>
      </c>
      <c r="Z12" s="210">
        <f t="shared" si="3"/>
        <v>1</v>
      </c>
      <c r="AA12" s="209">
        <f t="shared" si="3"/>
        <v>1</v>
      </c>
      <c r="AB12" s="209">
        <f t="shared" si="3"/>
        <v>1</v>
      </c>
      <c r="AC12" s="209">
        <f t="shared" si="3"/>
        <v>1</v>
      </c>
      <c r="AD12" s="209">
        <f t="shared" si="3"/>
        <v>1</v>
      </c>
      <c r="AE12" s="194">
        <f t="shared" si="3"/>
        <v>1</v>
      </c>
      <c r="AF12" s="204"/>
      <c r="AG12" s="187"/>
      <c r="AH12" s="205"/>
      <c r="AI12" s="206"/>
      <c r="AJ12" s="207"/>
      <c r="AK12" s="208"/>
      <c r="AL12" s="208"/>
      <c r="AM12" s="207"/>
      <c r="AN12" s="208"/>
      <c r="AO12" s="208"/>
      <c r="AP12" s="200"/>
    </row>
    <row r="13" spans="1:42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204" t="str">
        <f t="shared" ref="AF13:AF23" si="4">A13</f>
        <v>ein</v>
      </c>
      <c r="AG13" s="187"/>
      <c r="AH13" s="205"/>
      <c r="AI13" s="206"/>
      <c r="AJ13" s="207"/>
      <c r="AK13" s="208"/>
      <c r="AL13" s="208"/>
      <c r="AM13" s="207"/>
      <c r="AN13" s="208"/>
      <c r="AO13" s="208"/>
      <c r="AP13" s="118"/>
    </row>
    <row r="14" spans="1:42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204" t="str">
        <f t="shared" si="4"/>
        <v>aus</v>
      </c>
      <c r="AG14" s="187"/>
      <c r="AH14" s="205"/>
      <c r="AI14" s="206"/>
      <c r="AJ14" s="207"/>
      <c r="AK14" s="208"/>
      <c r="AL14" s="208"/>
      <c r="AM14" s="207"/>
      <c r="AN14" s="208"/>
      <c r="AO14" s="208"/>
      <c r="AP14" s="118"/>
    </row>
    <row r="15" spans="1:42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204" t="str">
        <f t="shared" si="4"/>
        <v>ein</v>
      </c>
      <c r="AG15" s="187"/>
      <c r="AH15" s="205"/>
      <c r="AI15" s="206"/>
      <c r="AJ15" s="207"/>
      <c r="AK15" s="208"/>
      <c r="AL15" s="208"/>
      <c r="AM15" s="207"/>
      <c r="AN15" s="208"/>
      <c r="AO15" s="208"/>
      <c r="AP15" s="118"/>
    </row>
    <row r="16" spans="1:42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204" t="str">
        <f t="shared" si="4"/>
        <v>aus</v>
      </c>
      <c r="AG16" s="187"/>
      <c r="AH16" s="212"/>
      <c r="AI16" s="213"/>
      <c r="AJ16" s="208"/>
      <c r="AK16" s="208"/>
      <c r="AL16" s="208"/>
      <c r="AM16" s="207"/>
      <c r="AN16" s="208"/>
      <c r="AO16" s="208"/>
      <c r="AP16" s="118"/>
    </row>
    <row r="17" spans="1:42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204" t="str">
        <f t="shared" si="4"/>
        <v>ein</v>
      </c>
      <c r="AG17" s="187"/>
      <c r="AH17" s="212"/>
      <c r="AI17" s="213"/>
      <c r="AJ17" s="208"/>
      <c r="AK17" s="208"/>
      <c r="AL17" s="208"/>
      <c r="AM17" s="207"/>
      <c r="AN17" s="208"/>
      <c r="AO17" s="208"/>
      <c r="AP17" s="118"/>
    </row>
    <row r="18" spans="1:42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204" t="str">
        <f t="shared" si="4"/>
        <v>aus</v>
      </c>
      <c r="AG18" s="187"/>
      <c r="AH18" s="212"/>
      <c r="AI18" s="213"/>
      <c r="AJ18" s="208"/>
      <c r="AK18" s="208"/>
      <c r="AL18" s="208"/>
      <c r="AM18" s="207"/>
      <c r="AN18" s="208"/>
      <c r="AO18" s="208"/>
      <c r="AP18" s="118"/>
    </row>
    <row r="19" spans="1:42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204" t="str">
        <f t="shared" si="4"/>
        <v>ein</v>
      </c>
      <c r="AG19" s="187"/>
      <c r="AH19" s="212"/>
      <c r="AI19" s="213"/>
      <c r="AJ19" s="208"/>
      <c r="AK19" s="208"/>
      <c r="AL19" s="208"/>
      <c r="AM19" s="207"/>
      <c r="AN19" s="208"/>
      <c r="AO19" s="208"/>
      <c r="AP19" s="118"/>
    </row>
    <row r="20" spans="1:42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204" t="str">
        <f t="shared" si="4"/>
        <v>aus</v>
      </c>
      <c r="AG20" s="187"/>
      <c r="AH20" s="212"/>
      <c r="AI20" s="213"/>
      <c r="AJ20" s="208"/>
      <c r="AK20" s="208"/>
      <c r="AL20" s="208"/>
      <c r="AM20" s="207"/>
      <c r="AN20" s="208"/>
      <c r="AO20" s="208"/>
      <c r="AP20" s="118"/>
    </row>
    <row r="21" spans="1:42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204" t="str">
        <f t="shared" si="4"/>
        <v>ein</v>
      </c>
      <c r="AG21" s="187"/>
      <c r="AH21" s="212"/>
      <c r="AI21" s="213"/>
      <c r="AJ21" s="208"/>
      <c r="AK21" s="208"/>
      <c r="AL21" s="208"/>
      <c r="AM21" s="207"/>
      <c r="AN21" s="208"/>
      <c r="AO21" s="208"/>
      <c r="AP21" s="118"/>
    </row>
    <row r="22" spans="1:42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204" t="str">
        <f t="shared" si="4"/>
        <v>aus</v>
      </c>
      <c r="AG22" s="187"/>
      <c r="AH22" s="212"/>
      <c r="AI22" s="213"/>
      <c r="AJ22" s="208"/>
      <c r="AK22" s="208"/>
      <c r="AL22" s="208"/>
      <c r="AM22" s="207"/>
      <c r="AN22" s="208"/>
      <c r="AO22" s="208"/>
      <c r="AP22" s="118"/>
    </row>
    <row r="23" spans="1:42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E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6" t="str">
        <f t="shared" si="4"/>
        <v>Total ein/aus</v>
      </c>
      <c r="AG23" s="217"/>
      <c r="AH23" s="218">
        <f>SUM(B23:AE23)</f>
        <v>0</v>
      </c>
      <c r="AI23" s="213"/>
      <c r="AJ23" s="208"/>
      <c r="AK23" s="208"/>
      <c r="AL23" s="208"/>
      <c r="AM23" s="207"/>
      <c r="AN23" s="208"/>
      <c r="AO23" s="208"/>
      <c r="AP23" s="118"/>
    </row>
    <row r="24" spans="1:42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04"/>
      <c r="AG24" s="187"/>
      <c r="AH24" s="212"/>
      <c r="AI24" s="213"/>
      <c r="AJ24" s="208"/>
      <c r="AK24" s="208"/>
      <c r="AL24" s="208"/>
      <c r="AM24" s="207"/>
      <c r="AN24" s="208"/>
      <c r="AO24" s="208"/>
      <c r="AP24" s="118"/>
    </row>
    <row r="25" spans="1:42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204" t="str">
        <f t="shared" ref="AF25:AF30" si="6">A25</f>
        <v>bezahlte Pause ein</v>
      </c>
      <c r="AG25" s="187"/>
      <c r="AH25" s="212"/>
      <c r="AI25" s="213"/>
      <c r="AJ25" s="208"/>
      <c r="AK25" s="208"/>
      <c r="AL25" s="208"/>
      <c r="AM25" s="207"/>
      <c r="AN25" s="208"/>
      <c r="AO25" s="208"/>
      <c r="AP25" s="118"/>
    </row>
    <row r="26" spans="1:42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204" t="str">
        <f t="shared" si="6"/>
        <v>bezahlte Pause aus</v>
      </c>
      <c r="AG26" s="187"/>
      <c r="AH26" s="212"/>
      <c r="AI26" s="213"/>
      <c r="AJ26" s="208"/>
      <c r="AK26" s="208"/>
      <c r="AL26" s="208"/>
      <c r="AM26" s="207"/>
      <c r="AN26" s="208"/>
      <c r="AO26" s="208"/>
      <c r="AP26" s="118"/>
    </row>
    <row r="27" spans="1:42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204" t="str">
        <f t="shared" si="6"/>
        <v>bezahlte Pause ein</v>
      </c>
      <c r="AG27" s="187"/>
      <c r="AH27" s="212"/>
      <c r="AI27" s="213"/>
      <c r="AJ27" s="208"/>
      <c r="AK27" s="208"/>
      <c r="AL27" s="208"/>
      <c r="AM27" s="207"/>
      <c r="AN27" s="208"/>
      <c r="AO27" s="208"/>
      <c r="AP27" s="118"/>
    </row>
    <row r="28" spans="1:42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204" t="str">
        <f t="shared" si="6"/>
        <v>bezahlte Pause aus</v>
      </c>
      <c r="AG28" s="187"/>
      <c r="AH28" s="212"/>
      <c r="AI28" s="213"/>
      <c r="AJ28" s="208"/>
      <c r="AK28" s="208"/>
      <c r="AL28" s="208"/>
      <c r="AM28" s="207"/>
      <c r="AN28" s="208"/>
      <c r="AO28" s="208"/>
      <c r="AP28" s="118"/>
    </row>
    <row r="29" spans="1:42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204" t="str">
        <f t="shared" si="6"/>
        <v>bezahlte Pause ein</v>
      </c>
      <c r="AG29" s="187"/>
      <c r="AH29" s="212"/>
      <c r="AI29" s="213"/>
      <c r="AJ29" s="208"/>
      <c r="AK29" s="208"/>
      <c r="AL29" s="208"/>
      <c r="AM29" s="207"/>
      <c r="AN29" s="208"/>
      <c r="AO29" s="208"/>
      <c r="AP29" s="118"/>
    </row>
    <row r="30" spans="1:42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204" t="str">
        <f t="shared" si="6"/>
        <v>bezahlte Pause aus</v>
      </c>
      <c r="AG30" s="187"/>
      <c r="AH30" s="212"/>
      <c r="AI30" s="213"/>
      <c r="AJ30" s="208"/>
      <c r="AK30" s="208"/>
      <c r="AL30" s="208"/>
      <c r="AM30" s="207"/>
      <c r="AN30" s="208"/>
      <c r="AO30" s="208"/>
      <c r="AP30" s="118"/>
    </row>
    <row r="31" spans="1:42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04"/>
      <c r="AG31" s="187"/>
      <c r="AH31" s="212"/>
      <c r="AI31" s="213"/>
      <c r="AJ31" s="208"/>
      <c r="AK31" s="208"/>
      <c r="AL31" s="208"/>
      <c r="AM31" s="207"/>
      <c r="AN31" s="208"/>
      <c r="AO31" s="208"/>
      <c r="AP31" s="118"/>
    </row>
    <row r="32" spans="1:42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E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16" t="str">
        <f>A32</f>
        <v>Total Pausen (ein aus/bez.)</v>
      </c>
      <c r="AG32" s="217"/>
      <c r="AH32" s="218">
        <f>SUM(B32:AE32)</f>
        <v>0</v>
      </c>
      <c r="AI32" s="213"/>
      <c r="AJ32" s="208"/>
      <c r="AK32" s="208"/>
      <c r="AL32" s="208"/>
      <c r="AM32" s="207"/>
      <c r="AN32" s="208"/>
      <c r="AO32" s="208"/>
      <c r="AP32" s="118"/>
    </row>
    <row r="33" spans="1:42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04"/>
      <c r="AG33" s="187"/>
      <c r="AH33" s="212"/>
      <c r="AI33" s="213"/>
      <c r="AJ33" s="208"/>
      <c r="AK33" s="208"/>
      <c r="AL33" s="208"/>
      <c r="AM33" s="207"/>
      <c r="AN33" s="208"/>
      <c r="AO33" s="208"/>
      <c r="AP33" s="118"/>
    </row>
    <row r="34" spans="1:42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G34" s="227"/>
      <c r="AH34" s="223"/>
      <c r="AI34" s="228" t="str">
        <f ca="1">IF(T.50_Vetsuisse,IFERROR(SUMPRODUCT((B34:AE34=INDEX(T.Pikett.Bereich,4))*((B49:AE49)&lt;1/24*5)),0) &amp; " / " &amp; IFERROR(SUMPRODUCT((B34:AE34=INDEX(T.Pikett.Bereich,4))*((B49:AE49)&gt;=1/24*5)),0) &amp; " / " &amp; IFERROR(SUMPRODUCT((B34:AE34=INDEX(T.Pikett.Bereich,4))*((B49:AE49)&lt;1/24*5)),0) + IFERROR(SUMPRODUCT((B34:AE34=INDEX(T.Pikett.Bereich,4))*((B49:AE49)&gt;=1/24*5)),0),
IFERROR(SUMPRODUCT((B34:AE34=INDEX(T.Pikett.Bereich,4))*(WEEKDAY(B10:AE10,2)&lt;6)*(B11:AE11&lt;&gt;0)),0) &amp; " / " &amp; IFERROR(SUMPRODUCT((B34:AE34=INDEX(T.Pikett.Bereich,4))*(WEEKDAY(B10:AE10,2)&gt;5)*(B11:AE11&lt;&gt;0))+SUMPRODUCT((B34:AE34=INDEX(T.Pikett.Bereich,4))*(B11:AE11=0)),0) &amp; " / " &amp; IFERROR(SUMPRODUCT((B34:AE34=INDEX(T.Pikett.Bereich,4))*(WEEKDAY(B10:AE10,2)&lt;6)*(B11:AE11&lt;&gt;0)),0) + IFERROR(SUMPRODUCT((B34:AE34=INDEX(T.Pikett.Bereich,4))*(WEEKDAY(B10:AE10,2)&gt;5)*(B11:AE11&lt;&gt;0))+SUMPRODUCT((B34:AE34=INDEX(T.Pikett.Bereich,4))*(B11:AE11=0)),0))</f>
        <v>0 / 0 / 0</v>
      </c>
      <c r="AJ34" s="208"/>
      <c r="AK34" s="208"/>
      <c r="AL34" s="208"/>
      <c r="AM34" s="207"/>
      <c r="AN34" s="208"/>
      <c r="AO34" s="208"/>
      <c r="AP34" s="118"/>
    </row>
    <row r="35" spans="1:42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204" t="str">
        <f t="shared" ref="AF35:AF45" si="8">A35</f>
        <v>ein</v>
      </c>
      <c r="AG35" s="187"/>
      <c r="AH35" s="212"/>
      <c r="AI35" s="213"/>
      <c r="AJ35" s="208"/>
      <c r="AK35" s="208"/>
      <c r="AL35" s="208"/>
      <c r="AM35" s="207"/>
      <c r="AN35" s="208"/>
      <c r="AO35" s="208"/>
      <c r="AP35" s="118"/>
    </row>
    <row r="36" spans="1:42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204" t="str">
        <f t="shared" si="8"/>
        <v>aus</v>
      </c>
      <c r="AG36" s="187"/>
      <c r="AH36" s="212"/>
      <c r="AI36" s="213"/>
      <c r="AJ36" s="208"/>
      <c r="AK36" s="208"/>
      <c r="AL36" s="208"/>
      <c r="AM36" s="207"/>
      <c r="AN36" s="208"/>
      <c r="AO36" s="208"/>
      <c r="AP36" s="118"/>
    </row>
    <row r="37" spans="1:42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204" t="str">
        <f t="shared" si="8"/>
        <v>ein</v>
      </c>
      <c r="AG37" s="187"/>
      <c r="AH37" s="212"/>
      <c r="AI37" s="213"/>
      <c r="AJ37" s="208"/>
      <c r="AK37" s="208"/>
      <c r="AL37" s="208"/>
      <c r="AM37" s="207"/>
      <c r="AN37" s="208"/>
      <c r="AO37" s="208"/>
      <c r="AP37" s="118"/>
    </row>
    <row r="38" spans="1:42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204" t="str">
        <f t="shared" si="8"/>
        <v>aus</v>
      </c>
      <c r="AG38" s="187"/>
      <c r="AH38" s="212"/>
      <c r="AI38" s="213"/>
      <c r="AJ38" s="208"/>
      <c r="AK38" s="208"/>
      <c r="AL38" s="208"/>
      <c r="AM38" s="207"/>
      <c r="AN38" s="208"/>
      <c r="AO38" s="208"/>
      <c r="AP38" s="118"/>
    </row>
    <row r="39" spans="1:42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204" t="str">
        <f t="shared" si="8"/>
        <v>ein</v>
      </c>
      <c r="AG39" s="187"/>
      <c r="AH39" s="212"/>
      <c r="AI39" s="213"/>
      <c r="AJ39" s="208"/>
      <c r="AK39" s="208"/>
      <c r="AL39" s="208"/>
      <c r="AM39" s="207"/>
      <c r="AN39" s="208"/>
      <c r="AO39" s="208"/>
      <c r="AP39" s="118"/>
    </row>
    <row r="40" spans="1:42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204" t="str">
        <f t="shared" si="8"/>
        <v>aus</v>
      </c>
      <c r="AG40" s="187"/>
      <c r="AH40" s="212"/>
      <c r="AI40" s="213"/>
      <c r="AJ40" s="208"/>
      <c r="AK40" s="208"/>
      <c r="AL40" s="208"/>
      <c r="AM40" s="207"/>
      <c r="AN40" s="208"/>
      <c r="AO40" s="208"/>
      <c r="AP40" s="118"/>
    </row>
    <row r="41" spans="1:42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204" t="str">
        <f t="shared" si="8"/>
        <v>ein</v>
      </c>
      <c r="AG41" s="187"/>
      <c r="AH41" s="212"/>
      <c r="AI41" s="213"/>
      <c r="AJ41" s="208"/>
      <c r="AK41" s="208"/>
      <c r="AL41" s="208"/>
      <c r="AM41" s="207"/>
      <c r="AN41" s="208"/>
      <c r="AO41" s="208"/>
      <c r="AP41" s="118"/>
    </row>
    <row r="42" spans="1:42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204" t="str">
        <f t="shared" si="8"/>
        <v>aus</v>
      </c>
      <c r="AG42" s="187"/>
      <c r="AH42" s="212"/>
      <c r="AI42" s="213"/>
      <c r="AJ42" s="208"/>
      <c r="AK42" s="208"/>
      <c r="AL42" s="208"/>
      <c r="AM42" s="207"/>
      <c r="AN42" s="208"/>
      <c r="AO42" s="208"/>
      <c r="AP42" s="118"/>
    </row>
    <row r="43" spans="1:42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204" t="str">
        <f t="shared" si="8"/>
        <v>ein</v>
      </c>
      <c r="AG43" s="187"/>
      <c r="AH43" s="212"/>
      <c r="AI43" s="213"/>
      <c r="AJ43" s="208"/>
      <c r="AK43" s="208"/>
      <c r="AL43" s="208"/>
      <c r="AM43" s="207"/>
      <c r="AN43" s="208"/>
      <c r="AO43" s="208"/>
      <c r="AP43" s="118"/>
    </row>
    <row r="44" spans="1:42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204" t="str">
        <f t="shared" si="8"/>
        <v>aus</v>
      </c>
      <c r="AG44" s="187"/>
      <c r="AH44" s="212"/>
      <c r="AI44" s="213"/>
      <c r="AJ44" s="208"/>
      <c r="AK44" s="208"/>
      <c r="AL44" s="208"/>
      <c r="AM44" s="207"/>
      <c r="AN44" s="208"/>
      <c r="AO44" s="208"/>
      <c r="AP44" s="118"/>
    </row>
    <row r="45" spans="1:42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E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6" t="str">
        <f t="shared" si="8"/>
        <v>Total Pikett ein/aus</v>
      </c>
      <c r="AG45" s="217"/>
      <c r="AH45" s="218">
        <f>SUM(B45:AE45)</f>
        <v>0</v>
      </c>
      <c r="AI45" s="213"/>
      <c r="AJ45" s="208"/>
      <c r="AK45" s="208"/>
      <c r="AL45" s="208"/>
      <c r="AM45" s="207"/>
      <c r="AN45" s="208"/>
      <c r="AO45" s="208"/>
      <c r="AP45" s="118"/>
    </row>
    <row r="46" spans="1:42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04"/>
      <c r="AG46" s="187"/>
      <c r="AH46" s="212"/>
      <c r="AI46" s="213"/>
      <c r="AJ46" s="208"/>
      <c r="AK46" s="208"/>
      <c r="AL46" s="208"/>
      <c r="AM46" s="207"/>
      <c r="AN46" s="208"/>
      <c r="AO46" s="208"/>
      <c r="AP46" s="118"/>
    </row>
    <row r="47" spans="1:42" s="38" customFormat="1" ht="16.5" hidden="1" customHeight="1" outlineLevel="1" x14ac:dyDescent="0.2">
      <c r="A47" s="214" t="s">
        <v>222</v>
      </c>
      <c r="B47" s="215">
        <f t="shared" ref="B47:AE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6" t="str">
        <f>A47</f>
        <v>Total Pikettstunden heute</v>
      </c>
      <c r="AG47" s="187"/>
      <c r="AH47" s="212"/>
      <c r="AI47" s="213"/>
      <c r="AJ47" s="208"/>
      <c r="AK47" s="208"/>
      <c r="AL47" s="208"/>
      <c r="AM47" s="207"/>
      <c r="AN47" s="208"/>
      <c r="AO47" s="208"/>
      <c r="AP47" s="118"/>
    </row>
    <row r="48" spans="1:42" s="38" customFormat="1" ht="16.5" hidden="1" customHeight="1" outlineLevel="1" x14ac:dyDescent="0.2">
      <c r="A48" s="214" t="s">
        <v>223</v>
      </c>
      <c r="B48" s="224">
        <f t="shared" ref="B48:AE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16" t="str">
        <f>A48</f>
        <v>Total Pikettstunden gestern</v>
      </c>
      <c r="AG48" s="187"/>
      <c r="AH48" s="212"/>
      <c r="AI48" s="213"/>
      <c r="AJ48" s="208"/>
      <c r="AK48" s="208"/>
      <c r="AL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M48" s="207"/>
      <c r="AN48" s="208"/>
      <c r="AO48" s="208"/>
      <c r="AP48" s="118"/>
    </row>
    <row r="49" spans="1:42" s="38" customFormat="1" ht="16.5" hidden="1" customHeight="1" outlineLevel="1" x14ac:dyDescent="0.2">
      <c r="A49" s="214" t="s">
        <v>219</v>
      </c>
      <c r="B49" s="215">
        <f t="shared" ref="B49:AE49" ca="1" si="12">B47+IF(B$10=EOMONTH(B$10,0),$AL48,OFFSET(B48,0,1))</f>
        <v>0</v>
      </c>
      <c r="C49" s="215">
        <f t="shared" ca="1" si="12"/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6" t="str">
        <f>A49</f>
        <v>Total Pikettdienststunden</v>
      </c>
      <c r="AG49" s="217"/>
      <c r="AH49" s="218">
        <f ca="1">SUM(B49:AE49)</f>
        <v>0</v>
      </c>
      <c r="AI49" s="213"/>
      <c r="AJ49" s="208"/>
      <c r="AK49" s="208"/>
      <c r="AL49" s="208"/>
      <c r="AM49" s="207"/>
      <c r="AN49" s="208"/>
      <c r="AO49" s="208"/>
      <c r="AP49" s="118"/>
    </row>
    <row r="50" spans="1:42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31"/>
      <c r="AG50" s="232"/>
      <c r="AH50" s="221"/>
      <c r="AI50" s="213"/>
      <c r="AJ50" s="208"/>
      <c r="AK50" s="208"/>
      <c r="AL50" s="208"/>
      <c r="AM50" s="207"/>
      <c r="AN50" s="208"/>
      <c r="AO50" s="208"/>
      <c r="AP50" s="118"/>
    </row>
    <row r="51" spans="1:42" s="38" customFormat="1" ht="15" customHeight="1" x14ac:dyDescent="0.2">
      <c r="A51" s="214" t="s">
        <v>109</v>
      </c>
      <c r="B51" s="233">
        <f t="shared" ref="B51:AE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16" t="str">
        <f t="shared" ref="AF51:AF56" si="14">A51</f>
        <v>Arbeitszeit IST</v>
      </c>
      <c r="AG51" s="217"/>
      <c r="AH51" s="237">
        <f>SUM(B51:AE51)</f>
        <v>0</v>
      </c>
      <c r="AI51" s="213"/>
      <c r="AJ51" s="208" t="str">
        <f>IF(T.MedizinischeMikrobiologie,Monat.ZZSND.Total,"")</f>
        <v/>
      </c>
      <c r="AK51" s="208"/>
      <c r="AL51" s="208"/>
      <c r="AM51" s="208" t="str">
        <f>IF(T.MedizinischeMikrobiologie,SUM(AH51,AJ51),"")</f>
        <v/>
      </c>
      <c r="AN51" s="208"/>
      <c r="AO51" s="208"/>
      <c r="AP51" s="118"/>
    </row>
    <row r="52" spans="1:42" s="38" customFormat="1" ht="15" customHeight="1" outlineLevel="1" x14ac:dyDescent="0.2">
      <c r="A52" s="211" t="s">
        <v>197</v>
      </c>
      <c r="B52" s="78">
        <f t="shared" ref="B52:AE52" ca="1" si="15">IF(B$12=0,0,ROUND(INDEX(Monat.RAZ1_7.Bereich,WEEKDAY(B$10,2))*B$11*1440,0)/1440)</f>
        <v>0.35</v>
      </c>
      <c r="C52" s="78">
        <f t="shared" ca="1" si="15"/>
        <v>0.35</v>
      </c>
      <c r="D52" s="79">
        <f t="shared" ca="1" si="15"/>
        <v>0.35</v>
      </c>
      <c r="E52" s="78">
        <f t="shared" ca="1" si="15"/>
        <v>0.35</v>
      </c>
      <c r="F52" s="79">
        <f t="shared" ca="1" si="15"/>
        <v>0</v>
      </c>
      <c r="G52" s="79">
        <f t="shared" ca="1" si="15"/>
        <v>0</v>
      </c>
      <c r="H52" s="79">
        <f t="shared" ca="1" si="15"/>
        <v>0.35</v>
      </c>
      <c r="I52" s="79">
        <f t="shared" ca="1" si="15"/>
        <v>0.35</v>
      </c>
      <c r="J52" s="78">
        <f t="shared" ca="1" si="15"/>
        <v>0.35</v>
      </c>
      <c r="K52" s="79">
        <f t="shared" ca="1" si="15"/>
        <v>0.35</v>
      </c>
      <c r="L52" s="78">
        <f t="shared" ca="1" si="15"/>
        <v>0.35</v>
      </c>
      <c r="M52" s="79">
        <f t="shared" ca="1" si="15"/>
        <v>0</v>
      </c>
      <c r="N52" s="79">
        <f t="shared" ca="1" si="15"/>
        <v>0</v>
      </c>
      <c r="O52" s="79">
        <f t="shared" ca="1" si="15"/>
        <v>0.35</v>
      </c>
      <c r="P52" s="79">
        <f t="shared" ca="1" si="15"/>
        <v>0.35</v>
      </c>
      <c r="Q52" s="78">
        <f t="shared" ca="1" si="15"/>
        <v>0.35</v>
      </c>
      <c r="R52" s="79">
        <f t="shared" ca="1" si="15"/>
        <v>0.35</v>
      </c>
      <c r="S52" s="78">
        <f t="shared" ca="1" si="15"/>
        <v>0.35</v>
      </c>
      <c r="T52" s="78">
        <f t="shared" ca="1" si="15"/>
        <v>0</v>
      </c>
      <c r="U52" s="79">
        <f t="shared" ca="1" si="15"/>
        <v>0</v>
      </c>
      <c r="V52" s="79">
        <f t="shared" ca="1" si="15"/>
        <v>0.35</v>
      </c>
      <c r="W52" s="79">
        <f t="shared" ca="1" si="15"/>
        <v>0.35</v>
      </c>
      <c r="X52" s="78">
        <f t="shared" ca="1" si="15"/>
        <v>0.35</v>
      </c>
      <c r="Y52" s="79">
        <f t="shared" ca="1" si="15"/>
        <v>0.35</v>
      </c>
      <c r="Z52" s="80">
        <f t="shared" ca="1" si="15"/>
        <v>0.35</v>
      </c>
      <c r="AA52" s="79">
        <f t="shared" ca="1" si="15"/>
        <v>0</v>
      </c>
      <c r="AB52" s="79">
        <f t="shared" ca="1" si="15"/>
        <v>0</v>
      </c>
      <c r="AC52" s="79">
        <f t="shared" ca="1" si="15"/>
        <v>0.35</v>
      </c>
      <c r="AD52" s="79">
        <f t="shared" ca="1" si="15"/>
        <v>0.35</v>
      </c>
      <c r="AE52" s="78">
        <f t="shared" ca="1" si="15"/>
        <v>0.35</v>
      </c>
      <c r="AF52" s="238" t="str">
        <f t="shared" si="14"/>
        <v>Regelarbeitszeit (Info)</v>
      </c>
      <c r="AG52" s="217"/>
      <c r="AH52" s="212"/>
      <c r="AI52" s="213"/>
      <c r="AJ52" s="208"/>
      <c r="AK52" s="208"/>
      <c r="AL52" s="208"/>
      <c r="AM52" s="207"/>
      <c r="AN52" s="208"/>
      <c r="AO52" s="208"/>
      <c r="AP52" s="118"/>
    </row>
    <row r="53" spans="1:42" s="38" customFormat="1" ht="15" customHeight="1" x14ac:dyDescent="0.2">
      <c r="A53" s="211" t="s">
        <v>155</v>
      </c>
      <c r="B53" s="239">
        <f t="shared" ref="B53:AE53" ca="1" si="16">IF(B$12=0,0,ROUND(INDEX(EB.AZSOLLTag100.Bereich,MATCH(INDEX(EB.Monate.Bereich,MONTH(Monat.Tag1)),EB.Monate.Bereich,0))*B$11*IF(WEEKDAY(B$10,2)&gt;5,0,1)*$V$2/100*1440,0)/1440)</f>
        <v>0.35</v>
      </c>
      <c r="C53" s="239">
        <f t="shared" ca="1" si="16"/>
        <v>0.35</v>
      </c>
      <c r="D53" s="239">
        <f t="shared" ca="1" si="16"/>
        <v>0.35</v>
      </c>
      <c r="E53" s="239">
        <f t="shared" ca="1" si="16"/>
        <v>0.35</v>
      </c>
      <c r="F53" s="239">
        <f t="shared" ca="1" si="16"/>
        <v>0</v>
      </c>
      <c r="G53" s="239">
        <f t="shared" ca="1" si="16"/>
        <v>0</v>
      </c>
      <c r="H53" s="239">
        <f t="shared" ca="1" si="16"/>
        <v>0.35</v>
      </c>
      <c r="I53" s="239">
        <f t="shared" ca="1" si="16"/>
        <v>0.35</v>
      </c>
      <c r="J53" s="239">
        <f t="shared" ca="1" si="16"/>
        <v>0.35</v>
      </c>
      <c r="K53" s="239">
        <f t="shared" ca="1" si="16"/>
        <v>0.35</v>
      </c>
      <c r="L53" s="239">
        <f t="shared" ca="1" si="16"/>
        <v>0.35</v>
      </c>
      <c r="M53" s="239">
        <f t="shared" ca="1" si="16"/>
        <v>0</v>
      </c>
      <c r="N53" s="239">
        <f t="shared" ca="1" si="16"/>
        <v>0</v>
      </c>
      <c r="O53" s="239">
        <f t="shared" ca="1" si="16"/>
        <v>0.35</v>
      </c>
      <c r="P53" s="239">
        <f t="shared" ca="1" si="16"/>
        <v>0.35</v>
      </c>
      <c r="Q53" s="239">
        <f t="shared" ca="1" si="16"/>
        <v>0.35</v>
      </c>
      <c r="R53" s="239">
        <f t="shared" ca="1" si="16"/>
        <v>0.35</v>
      </c>
      <c r="S53" s="239">
        <f t="shared" ca="1" si="16"/>
        <v>0.35</v>
      </c>
      <c r="T53" s="239">
        <f t="shared" ca="1" si="16"/>
        <v>0</v>
      </c>
      <c r="U53" s="239">
        <f t="shared" ca="1" si="16"/>
        <v>0</v>
      </c>
      <c r="V53" s="239">
        <f t="shared" ca="1" si="16"/>
        <v>0.35</v>
      </c>
      <c r="W53" s="239">
        <f t="shared" ca="1" si="16"/>
        <v>0.35</v>
      </c>
      <c r="X53" s="239">
        <f t="shared" ca="1" si="16"/>
        <v>0.35</v>
      </c>
      <c r="Y53" s="239">
        <f t="shared" ca="1" si="16"/>
        <v>0.35</v>
      </c>
      <c r="Z53" s="239">
        <f t="shared" ca="1" si="16"/>
        <v>0.35</v>
      </c>
      <c r="AA53" s="239">
        <f t="shared" ca="1" si="16"/>
        <v>0</v>
      </c>
      <c r="AB53" s="239">
        <f t="shared" ca="1" si="16"/>
        <v>0</v>
      </c>
      <c r="AC53" s="239">
        <f t="shared" ca="1" si="16"/>
        <v>0.35</v>
      </c>
      <c r="AD53" s="239">
        <f t="shared" ca="1" si="16"/>
        <v>0.35</v>
      </c>
      <c r="AE53" s="239">
        <f t="shared" ca="1" si="16"/>
        <v>0.35</v>
      </c>
      <c r="AF53" s="204" t="str">
        <f t="shared" si="14"/>
        <v>Arbeitszeit SOLL gem. BG</v>
      </c>
      <c r="AG53" s="217"/>
      <c r="AH53" s="237">
        <f ca="1">SUM(B53:AE53)</f>
        <v>7.6999999999999966</v>
      </c>
      <c r="AI53" s="213"/>
      <c r="AJ53" s="208"/>
      <c r="AK53" s="208"/>
      <c r="AL53" s="208"/>
      <c r="AM53" s="207"/>
      <c r="AN53" s="208"/>
      <c r="AO53" s="208"/>
      <c r="AP53" s="118"/>
    </row>
    <row r="54" spans="1:42" s="38" customFormat="1" ht="15" hidden="1" customHeight="1" outlineLevel="1" x14ac:dyDescent="0.2">
      <c r="A54" s="211" t="s">
        <v>143</v>
      </c>
      <c r="B54" s="239">
        <f t="shared" ref="B54:AE54" ca="1" si="17">ROUND(INDEX(EB.AZSOLLTag100.Bereich,MATCH(INDEX(EB.Monate.Bereich,MONTH(Monat.Tag1)),EB.Monate.Bereich,0))*B$11*IF(WEEKDAY(B$10,2)&gt;5,0,1)*1440,0)/1440</f>
        <v>0.35</v>
      </c>
      <c r="C54" s="239">
        <f t="shared" ca="1" si="17"/>
        <v>0.35</v>
      </c>
      <c r="D54" s="240">
        <f t="shared" ca="1" si="17"/>
        <v>0.35</v>
      </c>
      <c r="E54" s="239">
        <f t="shared" ca="1" si="17"/>
        <v>0.35</v>
      </c>
      <c r="F54" s="240">
        <f t="shared" ca="1" si="17"/>
        <v>0</v>
      </c>
      <c r="G54" s="240">
        <f t="shared" ca="1" si="17"/>
        <v>0</v>
      </c>
      <c r="H54" s="240">
        <f t="shared" ca="1" si="17"/>
        <v>0.35</v>
      </c>
      <c r="I54" s="240">
        <f t="shared" ca="1" si="17"/>
        <v>0.35</v>
      </c>
      <c r="J54" s="239">
        <f t="shared" ca="1" si="17"/>
        <v>0.35</v>
      </c>
      <c r="K54" s="240">
        <f t="shared" ca="1" si="17"/>
        <v>0.35</v>
      </c>
      <c r="L54" s="239">
        <f t="shared" ca="1" si="17"/>
        <v>0.35</v>
      </c>
      <c r="M54" s="240">
        <f t="shared" ca="1" si="17"/>
        <v>0</v>
      </c>
      <c r="N54" s="240">
        <f t="shared" ca="1" si="17"/>
        <v>0</v>
      </c>
      <c r="O54" s="240">
        <f t="shared" ca="1" si="17"/>
        <v>0.35</v>
      </c>
      <c r="P54" s="240">
        <f t="shared" ca="1" si="17"/>
        <v>0.35</v>
      </c>
      <c r="Q54" s="239">
        <f t="shared" ca="1" si="17"/>
        <v>0.35</v>
      </c>
      <c r="R54" s="240">
        <f t="shared" ca="1" si="17"/>
        <v>0.35</v>
      </c>
      <c r="S54" s="239">
        <f t="shared" ca="1" si="17"/>
        <v>0.35</v>
      </c>
      <c r="T54" s="239">
        <f t="shared" ca="1" si="17"/>
        <v>0</v>
      </c>
      <c r="U54" s="240">
        <f t="shared" ca="1" si="17"/>
        <v>0</v>
      </c>
      <c r="V54" s="240">
        <f t="shared" ca="1" si="17"/>
        <v>0.35</v>
      </c>
      <c r="W54" s="240">
        <f t="shared" ca="1" si="17"/>
        <v>0.35</v>
      </c>
      <c r="X54" s="239">
        <f t="shared" ca="1" si="17"/>
        <v>0.35</v>
      </c>
      <c r="Y54" s="240">
        <f t="shared" ca="1" si="17"/>
        <v>0.35</v>
      </c>
      <c r="Z54" s="241">
        <f t="shared" ca="1" si="17"/>
        <v>0.35</v>
      </c>
      <c r="AA54" s="240">
        <f t="shared" ca="1" si="17"/>
        <v>0</v>
      </c>
      <c r="AB54" s="240">
        <f t="shared" ca="1" si="17"/>
        <v>0</v>
      </c>
      <c r="AC54" s="240">
        <f t="shared" ca="1" si="17"/>
        <v>0.35</v>
      </c>
      <c r="AD54" s="240">
        <f t="shared" ca="1" si="17"/>
        <v>0.35</v>
      </c>
      <c r="AE54" s="239">
        <f t="shared" ca="1" si="17"/>
        <v>0.35</v>
      </c>
      <c r="AF54" s="204" t="str">
        <f t="shared" si="14"/>
        <v>Arbeitszeit SOLL 100%</v>
      </c>
      <c r="AG54" s="217"/>
      <c r="AH54" s="237">
        <f ca="1">SUM(B54:AE54)</f>
        <v>7.6999999999999966</v>
      </c>
      <c r="AI54" s="213"/>
      <c r="AJ54" s="208"/>
      <c r="AK54" s="208"/>
      <c r="AL54" s="208"/>
      <c r="AM54" s="207"/>
      <c r="AN54" s="208"/>
      <c r="AO54" s="208"/>
      <c r="AP54" s="118"/>
    </row>
    <row r="55" spans="1:42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E55" ca="1" si="18">ROUND((C51-C53)*1440,0)/1440</f>
        <v>-0.35</v>
      </c>
      <c r="D55" s="233">
        <f t="shared" ca="1" si="18"/>
        <v>-0.35</v>
      </c>
      <c r="E55" s="235">
        <f t="shared" ca="1" si="18"/>
        <v>-0.35</v>
      </c>
      <c r="F55" s="233">
        <f t="shared" ca="1" si="18"/>
        <v>0</v>
      </c>
      <c r="G55" s="233">
        <f t="shared" ca="1" si="18"/>
        <v>0</v>
      </c>
      <c r="H55" s="233">
        <f t="shared" ca="1" si="18"/>
        <v>-0.35</v>
      </c>
      <c r="I55" s="233">
        <f t="shared" ca="1" si="18"/>
        <v>-0.35</v>
      </c>
      <c r="J55" s="235">
        <f t="shared" ca="1" si="18"/>
        <v>-0.35</v>
      </c>
      <c r="K55" s="233">
        <f t="shared" ca="1" si="18"/>
        <v>-0.35</v>
      </c>
      <c r="L55" s="235">
        <f t="shared" ca="1" si="18"/>
        <v>-0.35</v>
      </c>
      <c r="M55" s="233">
        <f t="shared" ca="1" si="18"/>
        <v>0</v>
      </c>
      <c r="N55" s="233">
        <f t="shared" ca="1" si="18"/>
        <v>0</v>
      </c>
      <c r="O55" s="233">
        <f t="shared" ca="1" si="18"/>
        <v>-0.35</v>
      </c>
      <c r="P55" s="233">
        <f t="shared" ca="1" si="18"/>
        <v>-0.35</v>
      </c>
      <c r="Q55" s="235">
        <f t="shared" ca="1" si="18"/>
        <v>-0.35</v>
      </c>
      <c r="R55" s="233">
        <f t="shared" ca="1" si="18"/>
        <v>-0.35</v>
      </c>
      <c r="S55" s="235">
        <f t="shared" ca="1" si="18"/>
        <v>-0.35</v>
      </c>
      <c r="T55" s="235">
        <f t="shared" ca="1" si="18"/>
        <v>0</v>
      </c>
      <c r="U55" s="233">
        <f t="shared" ca="1" si="18"/>
        <v>0</v>
      </c>
      <c r="V55" s="233">
        <f t="shared" ca="1" si="18"/>
        <v>-0.35</v>
      </c>
      <c r="W55" s="233">
        <f t="shared" ca="1" si="18"/>
        <v>-0.35</v>
      </c>
      <c r="X55" s="235">
        <f t="shared" ca="1" si="18"/>
        <v>-0.35</v>
      </c>
      <c r="Y55" s="233">
        <f t="shared" ca="1" si="18"/>
        <v>-0.35</v>
      </c>
      <c r="Z55" s="236">
        <f t="shared" ca="1" si="18"/>
        <v>-0.35</v>
      </c>
      <c r="AA55" s="233">
        <f t="shared" ca="1" si="18"/>
        <v>0</v>
      </c>
      <c r="AB55" s="233">
        <f t="shared" ca="1" si="18"/>
        <v>0</v>
      </c>
      <c r="AC55" s="233">
        <f t="shared" ca="1" si="18"/>
        <v>-0.35</v>
      </c>
      <c r="AD55" s="233">
        <f t="shared" ca="1" si="18"/>
        <v>-0.35</v>
      </c>
      <c r="AE55" s="235">
        <f t="shared" ca="1" si="18"/>
        <v>-0.35</v>
      </c>
      <c r="AF55" s="204" t="str">
        <f t="shared" si="14"/>
        <v>+/- SOLL/IST täglich</v>
      </c>
      <c r="AG55" s="217"/>
      <c r="AH55" s="237">
        <f ca="1">SUM(B55:AE55)</f>
        <v>-7.6999999999999966</v>
      </c>
      <c r="AI55" s="213"/>
      <c r="AJ55" s="208"/>
      <c r="AK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-7.349999999999997</v>
      </c>
      <c r="AL55" s="208"/>
      <c r="AM55" s="244">
        <f ca="1">IF(AG57="+",(AH55+AH57),(AH55-AH57))</f>
        <v>-7.6999999999999966</v>
      </c>
      <c r="AN55" s="244">
        <f ca="1">SUM(OFFSET(J.AZSaldo.Total,-12,0,MONTH(Monat.Tag1),1))</f>
        <v>-80.999999999999972</v>
      </c>
      <c r="AO55" s="244">
        <f ca="1">J.AZSaldo.Total</f>
        <v>-88.349999999999966</v>
      </c>
      <c r="AP55" s="118"/>
    </row>
    <row r="56" spans="1:42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04" t="str">
        <f t="shared" si="14"/>
        <v>aktuelle Mehr-/Minusstunden</v>
      </c>
      <c r="AG56" s="217"/>
      <c r="AH56" s="237">
        <f ca="1">OFFSET(B56,0,DAY(EOMONTH(Monat.Tag1,0))-1,1,1)</f>
        <v>0</v>
      </c>
      <c r="AI56" s="213"/>
      <c r="AJ56" s="208"/>
      <c r="AK56" s="208"/>
      <c r="AL56" s="208"/>
      <c r="AM56" s="207"/>
      <c r="AN56" s="208"/>
      <c r="AO56" s="208"/>
      <c r="AP56" s="118"/>
    </row>
    <row r="57" spans="1:42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11" t="s">
        <v>140</v>
      </c>
      <c r="AG57" s="43" t="s">
        <v>27</v>
      </c>
      <c r="AH57" s="73"/>
      <c r="AI57" s="253"/>
      <c r="AJ57" s="254"/>
      <c r="AK57" s="208"/>
      <c r="AL57" s="208"/>
      <c r="AM57" s="207"/>
      <c r="AN57" s="255"/>
      <c r="AO57" s="255"/>
      <c r="AP57" s="162"/>
    </row>
    <row r="58" spans="1:42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8" t="s">
        <v>230</v>
      </c>
      <c r="AG58" s="217"/>
      <c r="AH58" s="237">
        <f ca="1">IF(AG57="+",(Monat.ZUeZ.Total+AH57),(Monat.ZUeZ.Total-AH57))</f>
        <v>0</v>
      </c>
      <c r="AI58" s="259"/>
      <c r="AJ58" s="260"/>
      <c r="AK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L58" s="208"/>
      <c r="AM58" s="244">
        <f ca="1">AH58</f>
        <v>0</v>
      </c>
      <c r="AN58" s="208"/>
      <c r="AO58" s="208"/>
      <c r="AP58" s="130"/>
    </row>
    <row r="59" spans="1:42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04"/>
      <c r="AG59" s="187"/>
      <c r="AH59" s="212"/>
      <c r="AI59" s="213"/>
      <c r="AJ59" s="208"/>
      <c r="AK59" s="208"/>
      <c r="AL59" s="208"/>
      <c r="AM59" s="207"/>
      <c r="AN59" s="208"/>
      <c r="AO59" s="208"/>
      <c r="AP59" s="118"/>
    </row>
    <row r="60" spans="1:42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04" t="str">
        <f>A60</f>
        <v>Angeordnete ÜZ</v>
      </c>
      <c r="AG60" s="217"/>
      <c r="AH60" s="237">
        <f ca="1">SUM(B60:AE60)</f>
        <v>0</v>
      </c>
      <c r="AI60" s="213"/>
      <c r="AJ60" s="208"/>
      <c r="AK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L60" s="208"/>
      <c r="AM60" s="244">
        <f ca="1">AH60+AK60</f>
        <v>0</v>
      </c>
      <c r="AN60" s="244">
        <f ca="1">SUM(OFFSET(Jahr.AngÜZ,-12,0,MONTH(Monat.Tag1),1))</f>
        <v>0</v>
      </c>
      <c r="AO60" s="244">
        <f ca="1">Jahr.AngÜZ</f>
        <v>0</v>
      </c>
      <c r="AP60" s="118"/>
    </row>
    <row r="61" spans="1:42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04" t="str">
        <f>A61</f>
        <v>Kompensation ÜZ</v>
      </c>
      <c r="AG61" s="217"/>
      <c r="AH61" s="237">
        <f>SUM(B61:AE61)</f>
        <v>0</v>
      </c>
      <c r="AI61" s="213"/>
      <c r="AJ61" s="208"/>
      <c r="AK61" s="208"/>
      <c r="AL61" s="208"/>
      <c r="AM61" s="207"/>
      <c r="AN61" s="208"/>
      <c r="AO61" s="208"/>
      <c r="AP61" s="118"/>
    </row>
    <row r="62" spans="1:42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5" t="s">
        <v>231</v>
      </c>
      <c r="AG62" s="266"/>
      <c r="AH62" s="237">
        <f ca="1">Monat.AnUeZ.Total-Monat.KomUeZ.Total</f>
        <v>0</v>
      </c>
      <c r="AI62" s="213"/>
      <c r="AJ62" s="255"/>
      <c r="AK62" s="255"/>
      <c r="AL62" s="208"/>
      <c r="AM62" s="255"/>
      <c r="AN62" s="255"/>
      <c r="AO62" s="255"/>
      <c r="AP62" s="162"/>
    </row>
    <row r="63" spans="1:42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11" t="s">
        <v>47</v>
      </c>
      <c r="AG63" s="217"/>
      <c r="AH63" s="237">
        <f ca="1">IF(T.50_Vetsuisse,0,IF(AND(AH62&gt;0,Monat.ÜZZSBerechtigt=INDEX(T.JaNein.Bereich,1,1)),ROUND(AH62*0.25*1440,0)/1440,0))</f>
        <v>0</v>
      </c>
      <c r="AI63" s="213"/>
      <c r="AJ63" s="208"/>
      <c r="AK63" s="255"/>
      <c r="AL63" s="208"/>
      <c r="AM63" s="255"/>
      <c r="AN63" s="255"/>
      <c r="AO63" s="255"/>
      <c r="AP63" s="118"/>
    </row>
    <row r="64" spans="1:42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11" t="s">
        <v>248</v>
      </c>
      <c r="AG64" s="45" t="s">
        <v>27</v>
      </c>
      <c r="AH64" s="46"/>
      <c r="AI64" s="268"/>
      <c r="AJ64" s="208"/>
      <c r="AK64" s="255"/>
      <c r="AL64" s="208"/>
      <c r="AM64" s="255"/>
      <c r="AN64" s="255"/>
      <c r="AO64" s="255"/>
      <c r="AP64" s="118"/>
    </row>
    <row r="65" spans="1:42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58" t="s">
        <v>72</v>
      </c>
      <c r="AG65" s="266"/>
      <c r="AH65" s="237">
        <f ca="1">IF(AG64="+",(AH62+AH63+AH64),(AH62+AH63-AH64))</f>
        <v>0</v>
      </c>
      <c r="AI65" s="259"/>
      <c r="AJ65" s="269"/>
      <c r="AK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L65" s="208"/>
      <c r="AM65" s="244">
        <f ca="1">AH65+AK65</f>
        <v>0</v>
      </c>
      <c r="AN65" s="244">
        <f ca="1">SUM(OFFSET(J.UeZ.Total,-12,0,MONTH(Monat.Tag1),1))</f>
        <v>0</v>
      </c>
      <c r="AO65" s="244">
        <f ca="1">J.UeZ.Total</f>
        <v>0</v>
      </c>
      <c r="AP65" s="162"/>
    </row>
    <row r="66" spans="1:42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0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0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0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0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0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0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0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0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211"/>
      <c r="AG66" s="187"/>
      <c r="AH66" s="212"/>
      <c r="AI66" s="213"/>
      <c r="AJ66" s="208"/>
      <c r="AK66" s="208"/>
      <c r="AL66" s="208"/>
      <c r="AM66" s="207"/>
      <c r="AN66" s="208"/>
      <c r="AO66" s="208"/>
      <c r="AP66" s="118"/>
    </row>
    <row r="67" spans="1:42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04" t="str">
        <f ca="1">A67 &amp; IFERROR(IF(SUMPRODUCT((B66:AE66=0)*(B67:AE67&gt;0))&gt;0," (!)",""),"")</f>
        <v>Kompensation AZ</v>
      </c>
      <c r="AG67" s="217"/>
      <c r="AH67" s="237">
        <f>SUM(B67:AE67)</f>
        <v>0</v>
      </c>
      <c r="AI67" s="259"/>
      <c r="AJ67" s="243">
        <f ca="1">OFFSET(EB.MKAStd.Knoten,MONTH(Monat.Tag1),0,1,1)</f>
        <v>0.4375</v>
      </c>
      <c r="AK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4.375</v>
      </c>
      <c r="AL67" s="208"/>
      <c r="AM67" s="244">
        <f ca="1">AJ67+AK67-Monat.KomAZ.Total</f>
        <v>4.8125</v>
      </c>
      <c r="AN67" s="244">
        <f ca="1">Jahresabrechnung!P12-SUM(OFFSET(Jahresabrechnung!P15,0,0,MONTH(Monat.Tag1),1))</f>
        <v>5.25</v>
      </c>
      <c r="AO67" s="244">
        <f ca="1">Jahresabrechnung!P28</f>
        <v>5.25</v>
      </c>
      <c r="AP67" s="118"/>
    </row>
    <row r="68" spans="1:42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204"/>
      <c r="AG68" s="187"/>
      <c r="AH68" s="212"/>
      <c r="AI68" s="213"/>
      <c r="AJ68" s="208"/>
      <c r="AK68" s="208"/>
      <c r="AL68" s="208"/>
      <c r="AM68" s="434">
        <f ca="1">IF(OFFSET(A68,0,DAY(EOMONTH(Monat.Tag1,0)))=0,0,1)</f>
        <v>1</v>
      </c>
      <c r="AN68" s="208"/>
      <c r="AO68" s="208"/>
      <c r="AP68" s="118"/>
    </row>
    <row r="69" spans="1:42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E69" ca="1" si="19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9"/>
        <v>0</v>
      </c>
      <c r="E69" s="271">
        <f t="shared" ca="1" si="19"/>
        <v>0</v>
      </c>
      <c r="F69" s="271">
        <f t="shared" ca="1" si="19"/>
        <v>0</v>
      </c>
      <c r="G69" s="271">
        <f t="shared" ca="1" si="19"/>
        <v>0</v>
      </c>
      <c r="H69" s="271">
        <f t="shared" ca="1" si="19"/>
        <v>0</v>
      </c>
      <c r="I69" s="271">
        <f t="shared" ca="1" si="19"/>
        <v>0</v>
      </c>
      <c r="J69" s="271">
        <f t="shared" ca="1" si="19"/>
        <v>0</v>
      </c>
      <c r="K69" s="271">
        <f t="shared" ca="1" si="19"/>
        <v>0</v>
      </c>
      <c r="L69" s="271">
        <f t="shared" ca="1" si="19"/>
        <v>0</v>
      </c>
      <c r="M69" s="271">
        <f t="shared" ca="1" si="19"/>
        <v>0</v>
      </c>
      <c r="N69" s="271">
        <f t="shared" ca="1" si="19"/>
        <v>0</v>
      </c>
      <c r="O69" s="271">
        <f t="shared" ca="1" si="19"/>
        <v>0</v>
      </c>
      <c r="P69" s="271">
        <f t="shared" ca="1" si="19"/>
        <v>0</v>
      </c>
      <c r="Q69" s="271">
        <f t="shared" ca="1" si="19"/>
        <v>0</v>
      </c>
      <c r="R69" s="271">
        <f t="shared" ca="1" si="19"/>
        <v>0</v>
      </c>
      <c r="S69" s="271">
        <f t="shared" ca="1" si="19"/>
        <v>0</v>
      </c>
      <c r="T69" s="271">
        <f t="shared" ca="1" si="19"/>
        <v>0</v>
      </c>
      <c r="U69" s="271">
        <f t="shared" ca="1" si="19"/>
        <v>0</v>
      </c>
      <c r="V69" s="271">
        <f t="shared" ca="1" si="19"/>
        <v>0</v>
      </c>
      <c r="W69" s="271">
        <f t="shared" ca="1" si="19"/>
        <v>0</v>
      </c>
      <c r="X69" s="271">
        <f t="shared" ca="1" si="19"/>
        <v>0</v>
      </c>
      <c r="Y69" s="271">
        <f t="shared" ca="1" si="19"/>
        <v>0</v>
      </c>
      <c r="Z69" s="271">
        <f t="shared" ca="1" si="19"/>
        <v>0</v>
      </c>
      <c r="AA69" s="271">
        <f t="shared" ca="1" si="19"/>
        <v>0</v>
      </c>
      <c r="AB69" s="271">
        <f t="shared" ca="1" si="19"/>
        <v>0</v>
      </c>
      <c r="AC69" s="271">
        <f t="shared" ca="1" si="19"/>
        <v>0</v>
      </c>
      <c r="AD69" s="271">
        <f t="shared" ca="1" si="19"/>
        <v>0</v>
      </c>
      <c r="AE69" s="271">
        <f t="shared" ca="1" si="19"/>
        <v>0</v>
      </c>
      <c r="AF69" s="204" t="str">
        <f>A69</f>
        <v>Zähler Nachtdienst</v>
      </c>
      <c r="AG69" s="272"/>
      <c r="AH69" s="273">
        <f ca="1">SUM(B69:AE69)</f>
        <v>0</v>
      </c>
      <c r="AI69" s="259"/>
      <c r="AJ69" s="223"/>
      <c r="AK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L69" s="208"/>
      <c r="AM69" s="275">
        <f ca="1">AK69+AH69</f>
        <v>0</v>
      </c>
      <c r="AN69" s="207"/>
      <c r="AO69" s="207"/>
      <c r="AP69" s="118"/>
    </row>
    <row r="70" spans="1:42" s="38" customFormat="1" ht="15" hidden="1" customHeight="1" x14ac:dyDescent="0.2">
      <c r="A70" s="211" t="s">
        <v>212</v>
      </c>
      <c r="B70" s="271">
        <f t="shared" ref="B70:AE70" ca="1" si="20">IF(DAY(B$10)=1,$AK$69,A70)+B69</f>
        <v>0</v>
      </c>
      <c r="C70" s="271">
        <f t="shared" ca="1" si="20"/>
        <v>0</v>
      </c>
      <c r="D70" s="271">
        <f t="shared" ca="1" si="20"/>
        <v>0</v>
      </c>
      <c r="E70" s="271">
        <f t="shared" ca="1" si="20"/>
        <v>0</v>
      </c>
      <c r="F70" s="271">
        <f t="shared" ca="1" si="20"/>
        <v>0</v>
      </c>
      <c r="G70" s="271">
        <f t="shared" ca="1" si="20"/>
        <v>0</v>
      </c>
      <c r="H70" s="271">
        <f t="shared" ca="1" si="20"/>
        <v>0</v>
      </c>
      <c r="I70" s="271">
        <f t="shared" ca="1" si="20"/>
        <v>0</v>
      </c>
      <c r="J70" s="271">
        <f t="shared" ca="1" si="20"/>
        <v>0</v>
      </c>
      <c r="K70" s="271">
        <f t="shared" ca="1" si="20"/>
        <v>0</v>
      </c>
      <c r="L70" s="271">
        <f t="shared" ca="1" si="20"/>
        <v>0</v>
      </c>
      <c r="M70" s="271">
        <f t="shared" ca="1" si="20"/>
        <v>0</v>
      </c>
      <c r="N70" s="271">
        <f t="shared" ca="1" si="20"/>
        <v>0</v>
      </c>
      <c r="O70" s="271">
        <f t="shared" ca="1" si="20"/>
        <v>0</v>
      </c>
      <c r="P70" s="271">
        <f t="shared" ca="1" si="20"/>
        <v>0</v>
      </c>
      <c r="Q70" s="271">
        <f t="shared" ca="1" si="20"/>
        <v>0</v>
      </c>
      <c r="R70" s="271">
        <f t="shared" ca="1" si="20"/>
        <v>0</v>
      </c>
      <c r="S70" s="271">
        <f t="shared" ca="1" si="20"/>
        <v>0</v>
      </c>
      <c r="T70" s="271">
        <f t="shared" ca="1" si="20"/>
        <v>0</v>
      </c>
      <c r="U70" s="271">
        <f t="shared" ca="1" si="20"/>
        <v>0</v>
      </c>
      <c r="V70" s="271">
        <f t="shared" ca="1" si="20"/>
        <v>0</v>
      </c>
      <c r="W70" s="271">
        <f t="shared" ca="1" si="20"/>
        <v>0</v>
      </c>
      <c r="X70" s="271">
        <f t="shared" ca="1" si="20"/>
        <v>0</v>
      </c>
      <c r="Y70" s="271">
        <f t="shared" ca="1" si="20"/>
        <v>0</v>
      </c>
      <c r="Z70" s="271">
        <f t="shared" ca="1" si="20"/>
        <v>0</v>
      </c>
      <c r="AA70" s="271">
        <f t="shared" ca="1" si="20"/>
        <v>0</v>
      </c>
      <c r="AB70" s="271">
        <f t="shared" ca="1" si="20"/>
        <v>0</v>
      </c>
      <c r="AC70" s="271">
        <f t="shared" ca="1" si="20"/>
        <v>0</v>
      </c>
      <c r="AD70" s="271">
        <f t="shared" ca="1" si="20"/>
        <v>0</v>
      </c>
      <c r="AE70" s="271">
        <f t="shared" ca="1" si="20"/>
        <v>0</v>
      </c>
      <c r="AF70" s="204" t="str">
        <f>A70</f>
        <v>Saldo Zähler Nachtdienst</v>
      </c>
      <c r="AG70" s="227"/>
      <c r="AH70" s="223"/>
      <c r="AI70" s="276"/>
      <c r="AJ70" s="260"/>
      <c r="AK70" s="260"/>
      <c r="AL70" s="208"/>
      <c r="AM70" s="277"/>
      <c r="AN70" s="207"/>
      <c r="AO70" s="207"/>
      <c r="AP70" s="118"/>
    </row>
    <row r="71" spans="1:42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204" t="str">
        <f>A71</f>
        <v>Kompensation ZZS Nachtdienst</v>
      </c>
      <c r="AG71" s="217"/>
      <c r="AH71" s="237">
        <f>SUM(B71:AE71)</f>
        <v>0</v>
      </c>
      <c r="AI71" s="259"/>
      <c r="AJ71" s="260"/>
      <c r="AK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L71" s="208"/>
      <c r="AM71" s="244">
        <f ca="1">AH71+AK71</f>
        <v>0</v>
      </c>
      <c r="AN71" s="244">
        <f ca="1">SUM(OFFSET(Jahr.KompZZSND,-12,0,MONTH(Monat.Tag1),1))</f>
        <v>0</v>
      </c>
      <c r="AO71" s="244">
        <f ca="1">Jahr.KompZZSND</f>
        <v>0</v>
      </c>
      <c r="AP71" s="118"/>
    </row>
    <row r="72" spans="1:42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204" t="str">
        <f>A72</f>
        <v>Start Gepl. Nachtdienst Ja/Nein</v>
      </c>
      <c r="AG72" s="217"/>
      <c r="AH72" s="223"/>
      <c r="AI72" s="228">
        <f ca="1">IFERROR(SUMPRODUCT((B72:AE72=INDEX(T.JaNein.Bereich,1))*(B72:AE72&lt;&gt;"")),0)</f>
        <v>0</v>
      </c>
      <c r="AJ72" s="260"/>
      <c r="AK72" s="228">
        <f ca="1">AK69</f>
        <v>0</v>
      </c>
      <c r="AL72" s="208"/>
      <c r="AM72" s="275">
        <f ca="1">AM69</f>
        <v>0</v>
      </c>
      <c r="AN72" s="208"/>
      <c r="AO72" s="208"/>
      <c r="AP72" s="118"/>
    </row>
    <row r="73" spans="1:42" s="38" customFormat="1" ht="15" customHeight="1" outlineLevel="1" x14ac:dyDescent="0.2">
      <c r="A73" s="211" t="s">
        <v>77</v>
      </c>
      <c r="B73" s="278">
        <f t="shared" ref="B73:AE73" ca="1" si="21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1"/>
        <v>0</v>
      </c>
      <c r="D73" s="278">
        <f t="shared" ca="1" si="21"/>
        <v>0</v>
      </c>
      <c r="E73" s="278">
        <f t="shared" ca="1" si="21"/>
        <v>0</v>
      </c>
      <c r="F73" s="278">
        <f t="shared" ca="1" si="21"/>
        <v>0</v>
      </c>
      <c r="G73" s="278">
        <f t="shared" ca="1" si="21"/>
        <v>0</v>
      </c>
      <c r="H73" s="278">
        <f t="shared" ca="1" si="21"/>
        <v>0</v>
      </c>
      <c r="I73" s="278">
        <f t="shared" ca="1" si="21"/>
        <v>0</v>
      </c>
      <c r="J73" s="278">
        <f t="shared" ca="1" si="21"/>
        <v>0</v>
      </c>
      <c r="K73" s="278">
        <f t="shared" ca="1" si="21"/>
        <v>0</v>
      </c>
      <c r="L73" s="278">
        <f t="shared" ca="1" si="21"/>
        <v>0</v>
      </c>
      <c r="M73" s="278">
        <f t="shared" ca="1" si="21"/>
        <v>0</v>
      </c>
      <c r="N73" s="278">
        <f t="shared" ca="1" si="21"/>
        <v>0</v>
      </c>
      <c r="O73" s="278">
        <f t="shared" ca="1" si="21"/>
        <v>0</v>
      </c>
      <c r="P73" s="278">
        <f t="shared" ca="1" si="21"/>
        <v>0</v>
      </c>
      <c r="Q73" s="278">
        <f t="shared" ca="1" si="21"/>
        <v>0</v>
      </c>
      <c r="R73" s="278">
        <f t="shared" ca="1" si="21"/>
        <v>0</v>
      </c>
      <c r="S73" s="278">
        <f t="shared" ca="1" si="21"/>
        <v>0</v>
      </c>
      <c r="T73" s="278">
        <f t="shared" ca="1" si="21"/>
        <v>0</v>
      </c>
      <c r="U73" s="278">
        <f t="shared" ca="1" si="21"/>
        <v>0</v>
      </c>
      <c r="V73" s="278">
        <f t="shared" ca="1" si="21"/>
        <v>0</v>
      </c>
      <c r="W73" s="278">
        <f t="shared" ca="1" si="21"/>
        <v>0</v>
      </c>
      <c r="X73" s="278">
        <f t="shared" ca="1" si="21"/>
        <v>0</v>
      </c>
      <c r="Y73" s="278">
        <f t="shared" ca="1" si="21"/>
        <v>0</v>
      </c>
      <c r="Z73" s="278">
        <f t="shared" ca="1" si="21"/>
        <v>0</v>
      </c>
      <c r="AA73" s="278">
        <f t="shared" ca="1" si="21"/>
        <v>0</v>
      </c>
      <c r="AB73" s="278">
        <f t="shared" ca="1" si="21"/>
        <v>0</v>
      </c>
      <c r="AC73" s="278">
        <f t="shared" ca="1" si="21"/>
        <v>0</v>
      </c>
      <c r="AD73" s="278">
        <f t="shared" ca="1" si="21"/>
        <v>0</v>
      </c>
      <c r="AE73" s="278">
        <f t="shared" ca="1" si="21"/>
        <v>0</v>
      </c>
      <c r="AF73" s="204" t="str">
        <f>A73</f>
        <v>Nachtdienst</v>
      </c>
      <c r="AG73" s="227"/>
      <c r="AH73" s="237">
        <f ca="1">SUM(B73:AE73)</f>
        <v>0</v>
      </c>
      <c r="AI73" s="228">
        <f ca="1">IF(OR(T.50_Vetsuisse,T.ServiceCenterIrchel),AH69,
IFERROR(SUMPRODUCT((B77:AE77&gt;0)*(B77:AE77&lt;&gt;"")),0))</f>
        <v>0</v>
      </c>
      <c r="AJ73" s="223"/>
      <c r="AK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L73" s="208"/>
      <c r="AM73" s="244">
        <f ca="1">AH73+AK73</f>
        <v>0</v>
      </c>
      <c r="AN73" s="207"/>
      <c r="AO73" s="207"/>
      <c r="AP73" s="118"/>
    </row>
    <row r="74" spans="1:42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04"/>
      <c r="AG74" s="187"/>
      <c r="AH74" s="212"/>
      <c r="AI74" s="213"/>
      <c r="AJ74" s="208"/>
      <c r="AK74" s="208"/>
      <c r="AL74" s="208"/>
      <c r="AM74" s="207"/>
      <c r="AN74" s="208"/>
      <c r="AO74" s="208"/>
      <c r="AP74" s="118"/>
    </row>
    <row r="75" spans="1:42" s="38" customFormat="1" ht="16.5" hidden="1" customHeight="1" outlineLevel="1" x14ac:dyDescent="0.2">
      <c r="A75" s="214" t="s">
        <v>245</v>
      </c>
      <c r="B75" s="215">
        <f t="shared" ref="B75:AE75" ca="1" si="22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2"/>
        <v>0</v>
      </c>
      <c r="D75" s="215">
        <f t="shared" ca="1" si="22"/>
        <v>0</v>
      </c>
      <c r="E75" s="215">
        <f t="shared" ca="1" si="22"/>
        <v>0</v>
      </c>
      <c r="F75" s="215">
        <f t="shared" ca="1" si="22"/>
        <v>0</v>
      </c>
      <c r="G75" s="215">
        <f t="shared" ca="1" si="22"/>
        <v>0</v>
      </c>
      <c r="H75" s="215">
        <f t="shared" ca="1" si="22"/>
        <v>0</v>
      </c>
      <c r="I75" s="215">
        <f t="shared" ca="1" si="22"/>
        <v>0</v>
      </c>
      <c r="J75" s="215">
        <f t="shared" ca="1" si="22"/>
        <v>0</v>
      </c>
      <c r="K75" s="215">
        <f t="shared" ca="1" si="22"/>
        <v>0</v>
      </c>
      <c r="L75" s="215">
        <f t="shared" ca="1" si="22"/>
        <v>0</v>
      </c>
      <c r="M75" s="215">
        <f t="shared" ca="1" si="22"/>
        <v>0</v>
      </c>
      <c r="N75" s="215">
        <f t="shared" ca="1" si="22"/>
        <v>0</v>
      </c>
      <c r="O75" s="215">
        <f t="shared" ca="1" si="22"/>
        <v>0</v>
      </c>
      <c r="P75" s="215">
        <f t="shared" ca="1" si="22"/>
        <v>0</v>
      </c>
      <c r="Q75" s="215">
        <f t="shared" ca="1" si="22"/>
        <v>0</v>
      </c>
      <c r="R75" s="215">
        <f t="shared" ca="1" si="22"/>
        <v>0</v>
      </c>
      <c r="S75" s="215">
        <f t="shared" ca="1" si="22"/>
        <v>0</v>
      </c>
      <c r="T75" s="215">
        <f t="shared" ca="1" si="22"/>
        <v>0</v>
      </c>
      <c r="U75" s="215">
        <f t="shared" ca="1" si="22"/>
        <v>0</v>
      </c>
      <c r="V75" s="215">
        <f t="shared" ca="1" si="22"/>
        <v>0</v>
      </c>
      <c r="W75" s="215">
        <f t="shared" ca="1" si="22"/>
        <v>0</v>
      </c>
      <c r="X75" s="215">
        <f t="shared" ca="1" si="22"/>
        <v>0</v>
      </c>
      <c r="Y75" s="215">
        <f t="shared" ca="1" si="22"/>
        <v>0</v>
      </c>
      <c r="Z75" s="215">
        <f t="shared" ca="1" si="22"/>
        <v>0</v>
      </c>
      <c r="AA75" s="215">
        <f t="shared" ca="1" si="22"/>
        <v>0</v>
      </c>
      <c r="AB75" s="215">
        <f t="shared" ca="1" si="22"/>
        <v>0</v>
      </c>
      <c r="AC75" s="215">
        <f t="shared" ca="1" si="22"/>
        <v>0</v>
      </c>
      <c r="AD75" s="215">
        <f t="shared" ca="1" si="22"/>
        <v>0</v>
      </c>
      <c r="AE75" s="215">
        <f t="shared" ca="1" si="22"/>
        <v>0</v>
      </c>
      <c r="AF75" s="216" t="str">
        <f>A75</f>
        <v>Total ND Stunden heute</v>
      </c>
      <c r="AG75" s="187"/>
      <c r="AH75" s="212"/>
      <c r="AI75" s="213"/>
      <c r="AJ75" s="208"/>
      <c r="AK75" s="208"/>
      <c r="AL75" s="208"/>
      <c r="AM75" s="207"/>
      <c r="AN75" s="208"/>
      <c r="AO75" s="208"/>
      <c r="AP75" s="118"/>
    </row>
    <row r="76" spans="1:42" s="38" customFormat="1" ht="16.5" hidden="1" customHeight="1" outlineLevel="1" x14ac:dyDescent="0.2">
      <c r="A76" s="214" t="s">
        <v>246</v>
      </c>
      <c r="B76" s="224">
        <f t="shared" ref="B76:AE76" ca="1" si="23">B73-B75</f>
        <v>0</v>
      </c>
      <c r="C76" s="224">
        <f t="shared" ca="1" si="23"/>
        <v>0</v>
      </c>
      <c r="D76" s="224">
        <f t="shared" ca="1" si="23"/>
        <v>0</v>
      </c>
      <c r="E76" s="224">
        <f t="shared" ca="1" si="23"/>
        <v>0</v>
      </c>
      <c r="F76" s="224">
        <f t="shared" ca="1" si="23"/>
        <v>0</v>
      </c>
      <c r="G76" s="224">
        <f t="shared" ca="1" si="23"/>
        <v>0</v>
      </c>
      <c r="H76" s="224">
        <f t="shared" ca="1" si="23"/>
        <v>0</v>
      </c>
      <c r="I76" s="224">
        <f t="shared" ca="1" si="23"/>
        <v>0</v>
      </c>
      <c r="J76" s="224">
        <f t="shared" ca="1" si="23"/>
        <v>0</v>
      </c>
      <c r="K76" s="224">
        <f t="shared" ca="1" si="23"/>
        <v>0</v>
      </c>
      <c r="L76" s="224">
        <f t="shared" ca="1" si="23"/>
        <v>0</v>
      </c>
      <c r="M76" s="224">
        <f t="shared" ca="1" si="23"/>
        <v>0</v>
      </c>
      <c r="N76" s="224">
        <f t="shared" ca="1" si="23"/>
        <v>0</v>
      </c>
      <c r="O76" s="224">
        <f t="shared" ca="1" si="23"/>
        <v>0</v>
      </c>
      <c r="P76" s="224">
        <f t="shared" ca="1" si="23"/>
        <v>0</v>
      </c>
      <c r="Q76" s="224">
        <f t="shared" ca="1" si="23"/>
        <v>0</v>
      </c>
      <c r="R76" s="224">
        <f t="shared" ca="1" si="23"/>
        <v>0</v>
      </c>
      <c r="S76" s="224">
        <f t="shared" ca="1" si="23"/>
        <v>0</v>
      </c>
      <c r="T76" s="224">
        <f t="shared" ca="1" si="23"/>
        <v>0</v>
      </c>
      <c r="U76" s="224">
        <f t="shared" ca="1" si="23"/>
        <v>0</v>
      </c>
      <c r="V76" s="224">
        <f t="shared" ca="1" si="23"/>
        <v>0</v>
      </c>
      <c r="W76" s="224">
        <f t="shared" ca="1" si="23"/>
        <v>0</v>
      </c>
      <c r="X76" s="224">
        <f t="shared" ca="1" si="23"/>
        <v>0</v>
      </c>
      <c r="Y76" s="224">
        <f t="shared" ca="1" si="23"/>
        <v>0</v>
      </c>
      <c r="Z76" s="224">
        <f t="shared" ca="1" si="23"/>
        <v>0</v>
      </c>
      <c r="AA76" s="224">
        <f t="shared" ca="1" si="23"/>
        <v>0</v>
      </c>
      <c r="AB76" s="224">
        <f t="shared" ca="1" si="23"/>
        <v>0</v>
      </c>
      <c r="AC76" s="224">
        <f t="shared" ca="1" si="23"/>
        <v>0</v>
      </c>
      <c r="AD76" s="224">
        <f t="shared" ca="1" si="23"/>
        <v>0</v>
      </c>
      <c r="AE76" s="224">
        <f t="shared" ca="1" si="23"/>
        <v>0</v>
      </c>
      <c r="AF76" s="216" t="str">
        <f>A76</f>
        <v>Total ND Stunden gestern</v>
      </c>
      <c r="AG76" s="187"/>
      <c r="AH76" s="212"/>
      <c r="AI76" s="213"/>
      <c r="AJ76" s="208"/>
      <c r="AK76" s="208"/>
      <c r="AL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M76" s="207"/>
      <c r="AN76" s="208"/>
      <c r="AO76" s="208"/>
      <c r="AP76" s="118"/>
    </row>
    <row r="77" spans="1:42" s="38" customFormat="1" ht="16.5" hidden="1" customHeight="1" outlineLevel="1" x14ac:dyDescent="0.2">
      <c r="A77" s="214" t="s">
        <v>247</v>
      </c>
      <c r="B77" s="215">
        <f t="shared" ref="B77:AE77" ca="1" si="24">B75+IF(B$10=EOMONTH(B$10,0),$AL76,OFFSET(B76,0,1))</f>
        <v>0</v>
      </c>
      <c r="C77" s="215">
        <f t="shared" ca="1" si="24"/>
        <v>0</v>
      </c>
      <c r="D77" s="215">
        <f t="shared" ca="1" si="24"/>
        <v>0</v>
      </c>
      <c r="E77" s="215">
        <f t="shared" ca="1" si="24"/>
        <v>0</v>
      </c>
      <c r="F77" s="215">
        <f t="shared" ca="1" si="24"/>
        <v>0</v>
      </c>
      <c r="G77" s="215">
        <f t="shared" ca="1" si="24"/>
        <v>0</v>
      </c>
      <c r="H77" s="215">
        <f t="shared" ca="1" si="24"/>
        <v>0</v>
      </c>
      <c r="I77" s="215">
        <f t="shared" ca="1" si="24"/>
        <v>0</v>
      </c>
      <c r="J77" s="215">
        <f t="shared" ca="1" si="24"/>
        <v>0</v>
      </c>
      <c r="K77" s="215">
        <f t="shared" ca="1" si="24"/>
        <v>0</v>
      </c>
      <c r="L77" s="215">
        <f t="shared" ca="1" si="24"/>
        <v>0</v>
      </c>
      <c r="M77" s="215">
        <f t="shared" ca="1" si="24"/>
        <v>0</v>
      </c>
      <c r="N77" s="215">
        <f t="shared" ca="1" si="24"/>
        <v>0</v>
      </c>
      <c r="O77" s="215">
        <f t="shared" ca="1" si="24"/>
        <v>0</v>
      </c>
      <c r="P77" s="215">
        <f t="shared" ca="1" si="24"/>
        <v>0</v>
      </c>
      <c r="Q77" s="215">
        <f t="shared" ca="1" si="24"/>
        <v>0</v>
      </c>
      <c r="R77" s="215">
        <f t="shared" ca="1" si="24"/>
        <v>0</v>
      </c>
      <c r="S77" s="215">
        <f t="shared" ca="1" si="24"/>
        <v>0</v>
      </c>
      <c r="T77" s="215">
        <f t="shared" ca="1" si="24"/>
        <v>0</v>
      </c>
      <c r="U77" s="215">
        <f t="shared" ca="1" si="24"/>
        <v>0</v>
      </c>
      <c r="V77" s="215">
        <f t="shared" ca="1" si="24"/>
        <v>0</v>
      </c>
      <c r="W77" s="215">
        <f t="shared" ca="1" si="24"/>
        <v>0</v>
      </c>
      <c r="X77" s="215">
        <f t="shared" ca="1" si="24"/>
        <v>0</v>
      </c>
      <c r="Y77" s="215">
        <f t="shared" ca="1" si="24"/>
        <v>0</v>
      </c>
      <c r="Z77" s="215">
        <f t="shared" ca="1" si="24"/>
        <v>0</v>
      </c>
      <c r="AA77" s="215">
        <f t="shared" ca="1" si="24"/>
        <v>0</v>
      </c>
      <c r="AB77" s="215">
        <f t="shared" ca="1" si="24"/>
        <v>0</v>
      </c>
      <c r="AC77" s="215">
        <f t="shared" ca="1" si="24"/>
        <v>0</v>
      </c>
      <c r="AD77" s="215">
        <f t="shared" ca="1" si="24"/>
        <v>0</v>
      </c>
      <c r="AE77" s="215">
        <f t="shared" ca="1" si="24"/>
        <v>0</v>
      </c>
      <c r="AF77" s="216" t="str">
        <f>A77</f>
        <v>Total ND Stunden</v>
      </c>
      <c r="AG77" s="217"/>
      <c r="AH77" s="218">
        <f ca="1">SUM(B77:AE77)</f>
        <v>0</v>
      </c>
      <c r="AI77" s="213"/>
      <c r="AJ77" s="208"/>
      <c r="AK77" s="208"/>
      <c r="AL77" s="208"/>
      <c r="AM77" s="207"/>
      <c r="AN77" s="208"/>
      <c r="AO77" s="208"/>
      <c r="AP77" s="118"/>
    </row>
    <row r="78" spans="1:42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04"/>
      <c r="AG78" s="232"/>
      <c r="AH78" s="221"/>
      <c r="AI78" s="213"/>
      <c r="AJ78" s="208"/>
      <c r="AK78" s="208"/>
      <c r="AL78" s="208"/>
      <c r="AM78" s="207"/>
      <c r="AN78" s="208"/>
      <c r="AO78" s="208"/>
      <c r="AP78" s="118"/>
    </row>
    <row r="79" spans="1:42" s="38" customFormat="1" ht="15" customHeight="1" outlineLevel="1" x14ac:dyDescent="0.2">
      <c r="A79" s="211" t="s">
        <v>194</v>
      </c>
      <c r="B79" s="278">
        <f t="shared" ref="B79:AE79" ca="1" si="25">IF(AND(T.50_Vetsuisse,B70&gt;24),ROUND(B73*T.50_VetsuisseZZSND*1440,0)/1440,
IF(AND(T.ServiceCenterIrchel,B69&gt;0,B77&gt;=ROUND(1/24*8*1440,0)/1440),ROUND(B77*T.ServiceCenterIrchelZZSND*1440,0)/1440,
IF(AND(T.MedizinischeMikrobiologie,B69&gt;0,B77+IF(B$10=EOMONTH(B$10,0),$AL81,OFFSET(B81,0,1))&gt;=ROUND(1/24*8*1440,0)/1440),ROUND(B77*T.MedizinischeMikrobiologieZZSND*1440,0)/1440,)))</f>
        <v>0</v>
      </c>
      <c r="C79" s="278">
        <f t="shared" ca="1" si="25"/>
        <v>0</v>
      </c>
      <c r="D79" s="278">
        <f t="shared" ca="1" si="25"/>
        <v>0</v>
      </c>
      <c r="E79" s="278">
        <f t="shared" ca="1" si="25"/>
        <v>0</v>
      </c>
      <c r="F79" s="278">
        <f t="shared" ca="1" si="25"/>
        <v>0</v>
      </c>
      <c r="G79" s="278">
        <f t="shared" ca="1" si="25"/>
        <v>0</v>
      </c>
      <c r="H79" s="278">
        <f t="shared" ca="1" si="25"/>
        <v>0</v>
      </c>
      <c r="I79" s="278">
        <f t="shared" ca="1" si="25"/>
        <v>0</v>
      </c>
      <c r="J79" s="278">
        <f t="shared" ca="1" si="25"/>
        <v>0</v>
      </c>
      <c r="K79" s="278">
        <f t="shared" ca="1" si="25"/>
        <v>0</v>
      </c>
      <c r="L79" s="278">
        <f t="shared" ca="1" si="25"/>
        <v>0</v>
      </c>
      <c r="M79" s="278">
        <f t="shared" ca="1" si="25"/>
        <v>0</v>
      </c>
      <c r="N79" s="278">
        <f t="shared" ca="1" si="25"/>
        <v>0</v>
      </c>
      <c r="O79" s="278">
        <f t="shared" ca="1" si="25"/>
        <v>0</v>
      </c>
      <c r="P79" s="278">
        <f t="shared" ca="1" si="25"/>
        <v>0</v>
      </c>
      <c r="Q79" s="278">
        <f t="shared" ca="1" si="25"/>
        <v>0</v>
      </c>
      <c r="R79" s="278">
        <f t="shared" ca="1" si="25"/>
        <v>0</v>
      </c>
      <c r="S79" s="278">
        <f t="shared" ca="1" si="25"/>
        <v>0</v>
      </c>
      <c r="T79" s="278">
        <f t="shared" ca="1" si="25"/>
        <v>0</v>
      </c>
      <c r="U79" s="278">
        <f t="shared" ca="1" si="25"/>
        <v>0</v>
      </c>
      <c r="V79" s="278">
        <f t="shared" ca="1" si="25"/>
        <v>0</v>
      </c>
      <c r="W79" s="278">
        <f t="shared" ca="1" si="25"/>
        <v>0</v>
      </c>
      <c r="X79" s="278">
        <f t="shared" ca="1" si="25"/>
        <v>0</v>
      </c>
      <c r="Y79" s="278">
        <f t="shared" ca="1" si="25"/>
        <v>0</v>
      </c>
      <c r="Z79" s="278">
        <f t="shared" ca="1" si="25"/>
        <v>0</v>
      </c>
      <c r="AA79" s="278">
        <f t="shared" ca="1" si="25"/>
        <v>0</v>
      </c>
      <c r="AB79" s="278">
        <f t="shared" ca="1" si="25"/>
        <v>0</v>
      </c>
      <c r="AC79" s="278">
        <f t="shared" ca="1" si="25"/>
        <v>0</v>
      </c>
      <c r="AD79" s="278">
        <f t="shared" ca="1" si="25"/>
        <v>0</v>
      </c>
      <c r="AE79" s="278">
        <f t="shared" ca="1" si="25"/>
        <v>0</v>
      </c>
      <c r="AF79" s="204" t="str">
        <f>A79</f>
        <v>Zeitzuschlag Nachtdienst</v>
      </c>
      <c r="AG79" s="272"/>
      <c r="AH79" s="237">
        <f ca="1">SUM(B79:AE79)</f>
        <v>0</v>
      </c>
      <c r="AI79" s="259"/>
      <c r="AJ79" s="223"/>
      <c r="AK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L79" s="208"/>
      <c r="AM79" s="244">
        <f ca="1">AH79+AK79-AH71</f>
        <v>0</v>
      </c>
      <c r="AN79" s="244">
        <f ca="1">OFFSET(Jahr.ZZSNDSaldo,-13+MONTH(Monat.Tag1),0,1,1)</f>
        <v>0</v>
      </c>
      <c r="AO79" s="244">
        <f ca="1">Jahr.ZZSNDSaldo</f>
        <v>0</v>
      </c>
      <c r="AP79" s="118"/>
    </row>
    <row r="80" spans="1:42" s="38" customFormat="1" ht="15" customHeight="1" outlineLevel="1" x14ac:dyDescent="0.2">
      <c r="A80" s="211" t="s">
        <v>196</v>
      </c>
      <c r="B80" s="278" t="str">
        <f t="shared" ref="B80:AE80" si="26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6"/>
        <v/>
      </c>
      <c r="D80" s="278" t="str">
        <f t="shared" si="26"/>
        <v/>
      </c>
      <c r="E80" s="278" t="str">
        <f t="shared" si="26"/>
        <v/>
      </c>
      <c r="F80" s="278" t="str">
        <f t="shared" si="26"/>
        <v/>
      </c>
      <c r="G80" s="278" t="str">
        <f t="shared" si="26"/>
        <v/>
      </c>
      <c r="H80" s="278" t="str">
        <f t="shared" si="26"/>
        <v/>
      </c>
      <c r="I80" s="278" t="str">
        <f t="shared" si="26"/>
        <v/>
      </c>
      <c r="J80" s="278" t="str">
        <f t="shared" si="26"/>
        <v/>
      </c>
      <c r="K80" s="278" t="str">
        <f t="shared" si="26"/>
        <v/>
      </c>
      <c r="L80" s="278" t="str">
        <f t="shared" si="26"/>
        <v/>
      </c>
      <c r="M80" s="278" t="str">
        <f t="shared" si="26"/>
        <v/>
      </c>
      <c r="N80" s="278" t="str">
        <f t="shared" si="26"/>
        <v/>
      </c>
      <c r="O80" s="278" t="str">
        <f t="shared" si="26"/>
        <v/>
      </c>
      <c r="P80" s="278" t="str">
        <f t="shared" si="26"/>
        <v/>
      </c>
      <c r="Q80" s="278" t="str">
        <f t="shared" si="26"/>
        <v/>
      </c>
      <c r="R80" s="278" t="str">
        <f t="shared" si="26"/>
        <v/>
      </c>
      <c r="S80" s="278" t="str">
        <f t="shared" si="26"/>
        <v/>
      </c>
      <c r="T80" s="278" t="str">
        <f t="shared" si="26"/>
        <v/>
      </c>
      <c r="U80" s="278" t="str">
        <f t="shared" si="26"/>
        <v/>
      </c>
      <c r="V80" s="278" t="str">
        <f t="shared" si="26"/>
        <v/>
      </c>
      <c r="W80" s="278" t="str">
        <f t="shared" si="26"/>
        <v/>
      </c>
      <c r="X80" s="278" t="str">
        <f t="shared" si="26"/>
        <v/>
      </c>
      <c r="Y80" s="278" t="str">
        <f t="shared" si="26"/>
        <v/>
      </c>
      <c r="Z80" s="278" t="str">
        <f t="shared" si="26"/>
        <v/>
      </c>
      <c r="AA80" s="278" t="str">
        <f t="shared" si="26"/>
        <v/>
      </c>
      <c r="AB80" s="278" t="str">
        <f t="shared" si="26"/>
        <v/>
      </c>
      <c r="AC80" s="278" t="str">
        <f t="shared" si="26"/>
        <v/>
      </c>
      <c r="AD80" s="278" t="str">
        <f t="shared" si="26"/>
        <v/>
      </c>
      <c r="AE80" s="278" t="str">
        <f t="shared" si="26"/>
        <v/>
      </c>
      <c r="AF80" s="204" t="str">
        <f>A80</f>
        <v>Abendarbeit</v>
      </c>
      <c r="AG80" s="272"/>
      <c r="AH80" s="237">
        <f>SUM(B80:AE80)</f>
        <v>0</v>
      </c>
      <c r="AI80" s="259"/>
      <c r="AJ80" s="223"/>
      <c r="AK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L80" s="208"/>
      <c r="AM80" s="244">
        <f ca="1">AH80+AK80</f>
        <v>0</v>
      </c>
      <c r="AN80" s="207"/>
      <c r="AO80" s="207"/>
      <c r="AP80" s="118"/>
    </row>
    <row r="81" spans="1:42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04" t="str">
        <f>A81</f>
        <v>Bereitschaftsdienst</v>
      </c>
      <c r="AG81" s="272"/>
      <c r="AH81" s="237">
        <f ca="1">SUM(B81:AE81)</f>
        <v>0</v>
      </c>
      <c r="AI81" s="259"/>
      <c r="AJ81" s="223"/>
      <c r="AK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L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M81" s="244">
        <f ca="1">AH81+AK81</f>
        <v>0</v>
      </c>
      <c r="AN81" s="207"/>
      <c r="AO81" s="207"/>
      <c r="AP81" s="118"/>
    </row>
    <row r="82" spans="1:42" s="38" customFormat="1" ht="15" customHeight="1" outlineLevel="1" x14ac:dyDescent="0.2">
      <c r="A82" s="211" t="s">
        <v>79</v>
      </c>
      <c r="B82" s="278">
        <f t="shared" ref="B82:AE82" ca="1" si="27">IF(B$12=0,"",IF(OR(WEEKDAY(B$10,2)&gt;5,B$11=0),
IF(T.50_NoVetsuisse,B45,
IF(OR(T.50_Vetsuisse,T.ServiceCenterIrchel,T.MedizinischeMikrobiologie),IF(B23-B73=0,"",B23-B73),
B60)),))</f>
        <v>0</v>
      </c>
      <c r="C82" s="278">
        <f t="shared" ca="1" si="27"/>
        <v>0</v>
      </c>
      <c r="D82" s="279">
        <f t="shared" ca="1" si="27"/>
        <v>0</v>
      </c>
      <c r="E82" s="278">
        <f t="shared" ca="1" si="27"/>
        <v>0</v>
      </c>
      <c r="F82" s="279" t="str">
        <f t="shared" ca="1" si="27"/>
        <v/>
      </c>
      <c r="G82" s="279" t="str">
        <f t="shared" ca="1" si="27"/>
        <v/>
      </c>
      <c r="H82" s="279">
        <f t="shared" ca="1" si="27"/>
        <v>0</v>
      </c>
      <c r="I82" s="279">
        <f t="shared" ca="1" si="27"/>
        <v>0</v>
      </c>
      <c r="J82" s="278">
        <f t="shared" ca="1" si="27"/>
        <v>0</v>
      </c>
      <c r="K82" s="279">
        <f t="shared" ca="1" si="27"/>
        <v>0</v>
      </c>
      <c r="L82" s="278">
        <f t="shared" ca="1" si="27"/>
        <v>0</v>
      </c>
      <c r="M82" s="279" t="str">
        <f t="shared" ca="1" si="27"/>
        <v/>
      </c>
      <c r="N82" s="279" t="str">
        <f t="shared" ca="1" si="27"/>
        <v/>
      </c>
      <c r="O82" s="279">
        <f t="shared" ca="1" si="27"/>
        <v>0</v>
      </c>
      <c r="P82" s="279">
        <f t="shared" ca="1" si="27"/>
        <v>0</v>
      </c>
      <c r="Q82" s="278">
        <f t="shared" ca="1" si="27"/>
        <v>0</v>
      </c>
      <c r="R82" s="279">
        <f t="shared" ca="1" si="27"/>
        <v>0</v>
      </c>
      <c r="S82" s="278">
        <f t="shared" ca="1" si="27"/>
        <v>0</v>
      </c>
      <c r="T82" s="278" t="str">
        <f t="shared" ca="1" si="27"/>
        <v/>
      </c>
      <c r="U82" s="279" t="str">
        <f t="shared" ca="1" si="27"/>
        <v/>
      </c>
      <c r="V82" s="279">
        <f t="shared" ca="1" si="27"/>
        <v>0</v>
      </c>
      <c r="W82" s="279">
        <f t="shared" ca="1" si="27"/>
        <v>0</v>
      </c>
      <c r="X82" s="278">
        <f t="shared" ca="1" si="27"/>
        <v>0</v>
      </c>
      <c r="Y82" s="279">
        <f t="shared" ca="1" si="27"/>
        <v>0</v>
      </c>
      <c r="Z82" s="280">
        <f t="shared" ca="1" si="27"/>
        <v>0</v>
      </c>
      <c r="AA82" s="279" t="str">
        <f t="shared" ca="1" si="27"/>
        <v/>
      </c>
      <c r="AB82" s="279" t="str">
        <f t="shared" ca="1" si="27"/>
        <v/>
      </c>
      <c r="AC82" s="279">
        <f t="shared" ca="1" si="27"/>
        <v>0</v>
      </c>
      <c r="AD82" s="279">
        <f t="shared" ca="1" si="27"/>
        <v>0</v>
      </c>
      <c r="AE82" s="278">
        <f t="shared" ca="1" si="27"/>
        <v>0</v>
      </c>
      <c r="AF82" s="204" t="str">
        <f>A82</f>
        <v>Samstag-/Sonntagdienst</v>
      </c>
      <c r="AG82" s="227"/>
      <c r="AH82" s="237">
        <f ca="1">SUM(B82:AE82)</f>
        <v>0</v>
      </c>
      <c r="AI82" s="228">
        <f ca="1">IFERROR(SUMPRODUCT((B82:AE82&gt;0)*(B82:AE82&lt;&gt;"")),0)</f>
        <v>0</v>
      </c>
      <c r="AJ82" s="223"/>
      <c r="AK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L82" s="208"/>
      <c r="AM82" s="244">
        <f ca="1">AH82+AK82</f>
        <v>0</v>
      </c>
      <c r="AN82" s="207"/>
      <c r="AO82" s="207"/>
      <c r="AP82" s="118"/>
    </row>
    <row r="83" spans="1:42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04"/>
      <c r="AG83" s="227"/>
      <c r="AH83" s="223"/>
      <c r="AI83" s="276"/>
      <c r="AJ83" s="260"/>
      <c r="AK83" s="260"/>
      <c r="AL83" s="208"/>
      <c r="AM83" s="277"/>
      <c r="AN83" s="281"/>
      <c r="AO83" s="281"/>
      <c r="AP83" s="118"/>
    </row>
    <row r="84" spans="1:42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204" t="str">
        <f>A84 &amp; IFERROR(IF(AND(MONTH(Monat.Tag1)=6,EB.Jahr&gt;2020),IF(SUM(Jahresabrechnung!AC15:AC20)&lt;EB.FerienBer,IF(EB.Sprache="EN"," (Balance PY "," (Saldo VJ ") &amp; " &gt; 0!)",""),""),"")</f>
        <v>Ferien</v>
      </c>
      <c r="AG84" s="217"/>
      <c r="AH84" s="237">
        <f>SUM(B84:AE84)</f>
        <v>0</v>
      </c>
      <c r="AI84" s="259"/>
      <c r="AJ84" s="243">
        <f ca="1">OFFSET(EB.MFAStd.Knoten,MONTH(Monat.Tag1),0,1,1)</f>
        <v>0</v>
      </c>
      <c r="AK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L84" s="208"/>
      <c r="AM84" s="244">
        <f ca="1">ROUND(IF(AG85="+",(AJ84+AK84-Monat.Ferien.Total+AH85),(AJ84+AK84-Monat.Ferien.Total-AH85))*1440,0)/1440</f>
        <v>0</v>
      </c>
      <c r="AN84" s="244">
        <f ca="1">SUM(Jahresabrechnung!AC12:AC13)-SUM(OFFSET(Jahresabrechnung!AC15,0,0,MONTH(Monat.Tag1),1))</f>
        <v>0</v>
      </c>
      <c r="AO84" s="244">
        <f ca="1">J.FerienUE.Total</f>
        <v>0</v>
      </c>
      <c r="AP84" s="118"/>
    </row>
    <row r="85" spans="1:42" s="38" customFormat="1" ht="15" customHeight="1" x14ac:dyDescent="0.2">
      <c r="A85" s="219"/>
      <c r="B85" s="435">
        <f t="shared" ref="B85:AE85" ca="1" si="28">IF(DAY(B$10)=1,Monat.Ferien.JS+Monat.Ferien.Total-B84,A85-B84)</f>
        <v>0</v>
      </c>
      <c r="C85" s="435">
        <f t="shared" ca="1" si="28"/>
        <v>0</v>
      </c>
      <c r="D85" s="435">
        <f t="shared" ca="1" si="28"/>
        <v>0</v>
      </c>
      <c r="E85" s="435">
        <f t="shared" ca="1" si="28"/>
        <v>0</v>
      </c>
      <c r="F85" s="435">
        <f t="shared" ca="1" si="28"/>
        <v>0</v>
      </c>
      <c r="G85" s="435">
        <f t="shared" ca="1" si="28"/>
        <v>0</v>
      </c>
      <c r="H85" s="435">
        <f t="shared" ca="1" si="28"/>
        <v>0</v>
      </c>
      <c r="I85" s="435">
        <f t="shared" ca="1" si="28"/>
        <v>0</v>
      </c>
      <c r="J85" s="435">
        <f t="shared" ca="1" si="28"/>
        <v>0</v>
      </c>
      <c r="K85" s="435">
        <f t="shared" ca="1" si="28"/>
        <v>0</v>
      </c>
      <c r="L85" s="435">
        <f t="shared" ca="1" si="28"/>
        <v>0</v>
      </c>
      <c r="M85" s="435">
        <f t="shared" ca="1" si="28"/>
        <v>0</v>
      </c>
      <c r="N85" s="435">
        <f t="shared" ca="1" si="28"/>
        <v>0</v>
      </c>
      <c r="O85" s="435">
        <f t="shared" ca="1" si="28"/>
        <v>0</v>
      </c>
      <c r="P85" s="435">
        <f t="shared" ca="1" si="28"/>
        <v>0</v>
      </c>
      <c r="Q85" s="435">
        <f t="shared" ca="1" si="28"/>
        <v>0</v>
      </c>
      <c r="R85" s="435">
        <f t="shared" ca="1" si="28"/>
        <v>0</v>
      </c>
      <c r="S85" s="435">
        <f t="shared" ca="1" si="28"/>
        <v>0</v>
      </c>
      <c r="T85" s="435">
        <f t="shared" ca="1" si="28"/>
        <v>0</v>
      </c>
      <c r="U85" s="435">
        <f t="shared" ca="1" si="28"/>
        <v>0</v>
      </c>
      <c r="V85" s="435">
        <f t="shared" ca="1" si="28"/>
        <v>0</v>
      </c>
      <c r="W85" s="435">
        <f t="shared" ca="1" si="28"/>
        <v>0</v>
      </c>
      <c r="X85" s="435">
        <f t="shared" ca="1" si="28"/>
        <v>0</v>
      </c>
      <c r="Y85" s="435">
        <f t="shared" ca="1" si="28"/>
        <v>0</v>
      </c>
      <c r="Z85" s="435">
        <f t="shared" ca="1" si="28"/>
        <v>0</v>
      </c>
      <c r="AA85" s="435">
        <f t="shared" ca="1" si="28"/>
        <v>0</v>
      </c>
      <c r="AB85" s="435">
        <f t="shared" ca="1" si="28"/>
        <v>0</v>
      </c>
      <c r="AC85" s="435">
        <f t="shared" ca="1" si="28"/>
        <v>0</v>
      </c>
      <c r="AD85" s="435">
        <f t="shared" ca="1" si="28"/>
        <v>0</v>
      </c>
      <c r="AE85" s="435">
        <f t="shared" ca="1" si="28"/>
        <v>0</v>
      </c>
      <c r="AF85" s="211" t="s">
        <v>68</v>
      </c>
      <c r="AG85" s="45" t="s">
        <v>27</v>
      </c>
      <c r="AH85" s="48"/>
      <c r="AI85" s="268"/>
      <c r="AJ85" s="208"/>
      <c r="AK85" s="208"/>
      <c r="AL85" s="208"/>
      <c r="AM85" s="207"/>
      <c r="AN85" s="282"/>
      <c r="AO85" s="282"/>
      <c r="AP85" s="118"/>
    </row>
    <row r="86" spans="1:42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204" t="str">
        <f t="shared" ref="AF86:AF95" si="29">A86</f>
        <v>Arztbesuch</v>
      </c>
      <c r="AG86" s="217"/>
      <c r="AH86" s="237">
        <f t="shared" ref="AH86:AH95" si="30">SUM(B86:AE86)</f>
        <v>0</v>
      </c>
      <c r="AI86" s="259"/>
      <c r="AJ86" s="260"/>
      <c r="AK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L86" s="208"/>
      <c r="AM86" s="244">
        <f t="shared" ref="AM86:AM94" ca="1" si="31">AH86+AK86</f>
        <v>0</v>
      </c>
      <c r="AN86" s="207"/>
      <c r="AO86" s="207"/>
      <c r="AP86" s="118"/>
    </row>
    <row r="87" spans="1:42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204" t="str">
        <f t="shared" si="29"/>
        <v>Krankheit</v>
      </c>
      <c r="AG87" s="217"/>
      <c r="AH87" s="237">
        <f t="shared" si="30"/>
        <v>0</v>
      </c>
      <c r="AI87" s="259"/>
      <c r="AJ87" s="260"/>
      <c r="AK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L87" s="208"/>
      <c r="AM87" s="244">
        <f t="shared" ca="1" si="31"/>
        <v>0</v>
      </c>
      <c r="AN87" s="207"/>
      <c r="AO87" s="207"/>
      <c r="AP87" s="118"/>
    </row>
    <row r="88" spans="1:42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204" t="str">
        <f t="shared" si="29"/>
        <v>Berufsunfall</v>
      </c>
      <c r="AG88" s="217"/>
      <c r="AH88" s="237">
        <f t="shared" si="30"/>
        <v>0</v>
      </c>
      <c r="AI88" s="259"/>
      <c r="AJ88" s="260"/>
      <c r="AK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L88" s="208"/>
      <c r="AM88" s="244">
        <f t="shared" ca="1" si="31"/>
        <v>0</v>
      </c>
      <c r="AN88" s="207"/>
      <c r="AO88" s="207"/>
      <c r="AP88" s="118"/>
    </row>
    <row r="89" spans="1:42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204" t="str">
        <f t="shared" si="29"/>
        <v>Nichtberufsunfall</v>
      </c>
      <c r="AG89" s="217"/>
      <c r="AH89" s="237">
        <f t="shared" si="30"/>
        <v>0</v>
      </c>
      <c r="AI89" s="259"/>
      <c r="AJ89" s="260"/>
      <c r="AK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L89" s="208"/>
      <c r="AM89" s="244">
        <f t="shared" ca="1" si="31"/>
        <v>0</v>
      </c>
      <c r="AN89" s="207"/>
      <c r="AO89" s="207"/>
      <c r="AP89" s="118"/>
    </row>
    <row r="90" spans="1:42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204" t="str">
        <f t="shared" si="29"/>
        <v>Militär/Zivilschutz</v>
      </c>
      <c r="AG90" s="217"/>
      <c r="AH90" s="237">
        <f t="shared" si="30"/>
        <v>0</v>
      </c>
      <c r="AI90" s="259"/>
      <c r="AJ90" s="260"/>
      <c r="AK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L90" s="208"/>
      <c r="AM90" s="244">
        <f t="shared" ca="1" si="31"/>
        <v>0</v>
      </c>
      <c r="AN90" s="207"/>
      <c r="AO90" s="207"/>
      <c r="AP90" s="118"/>
    </row>
    <row r="91" spans="1:42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204" t="str">
        <f t="shared" si="29"/>
        <v>Weiterbildung</v>
      </c>
      <c r="AG91" s="217"/>
      <c r="AH91" s="237">
        <f t="shared" si="30"/>
        <v>0</v>
      </c>
      <c r="AI91" s="259"/>
      <c r="AJ91" s="260"/>
      <c r="AK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L91" s="208"/>
      <c r="AM91" s="244">
        <f t="shared" ca="1" si="31"/>
        <v>0</v>
      </c>
      <c r="AN91" s="207"/>
      <c r="AO91" s="207"/>
      <c r="AP91" s="118"/>
    </row>
    <row r="92" spans="1:42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204" t="str">
        <f t="shared" si="29"/>
        <v>Besoldeter Urlaub</v>
      </c>
      <c r="AG92" s="217"/>
      <c r="AH92" s="237">
        <f t="shared" si="30"/>
        <v>0</v>
      </c>
      <c r="AI92" s="259"/>
      <c r="AJ92" s="260"/>
      <c r="AK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L92" s="208"/>
      <c r="AM92" s="244">
        <f t="shared" ca="1" si="31"/>
        <v>0</v>
      </c>
      <c r="AN92" s="207"/>
      <c r="AO92" s="207"/>
      <c r="AP92" s="118"/>
    </row>
    <row r="93" spans="1:42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204" t="str">
        <f t="shared" si="29"/>
        <v>Unbesoldeter Urlaub</v>
      </c>
      <c r="AG93" s="217"/>
      <c r="AH93" s="237">
        <f t="shared" si="30"/>
        <v>0</v>
      </c>
      <c r="AI93" s="259"/>
      <c r="AJ93" s="260"/>
      <c r="AK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L93" s="208"/>
      <c r="AM93" s="244">
        <f t="shared" ca="1" si="31"/>
        <v>0</v>
      </c>
      <c r="AN93" s="207"/>
      <c r="AO93" s="207"/>
      <c r="AP93" s="118"/>
    </row>
    <row r="94" spans="1:42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204" t="str">
        <f t="shared" si="29"/>
        <v>Nebenbeschäftigung</v>
      </c>
      <c r="AG94" s="217"/>
      <c r="AH94" s="237">
        <f t="shared" si="30"/>
        <v>0</v>
      </c>
      <c r="AI94" s="259"/>
      <c r="AJ94" s="260"/>
      <c r="AK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L94" s="208"/>
      <c r="AM94" s="244">
        <f t="shared" ca="1" si="31"/>
        <v>0</v>
      </c>
      <c r="AN94" s="207"/>
      <c r="AO94" s="207"/>
      <c r="AP94" s="118"/>
    </row>
    <row r="95" spans="1:42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204" t="str">
        <f t="shared" si="29"/>
        <v>DAG</v>
      </c>
      <c r="AG95" s="217"/>
      <c r="AH95" s="237">
        <f t="shared" si="30"/>
        <v>0</v>
      </c>
      <c r="AI95" s="259"/>
      <c r="AJ95" s="260"/>
      <c r="AK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L95" s="208"/>
      <c r="AM95" s="244">
        <f ca="1">AK95-AH95</f>
        <v>0</v>
      </c>
      <c r="AN95" s="207"/>
      <c r="AO95" s="207"/>
      <c r="AP95" s="118"/>
    </row>
    <row r="96" spans="1:42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04"/>
      <c r="AG96" s="227"/>
      <c r="AH96" s="223"/>
      <c r="AI96" s="276"/>
      <c r="AJ96" s="260"/>
      <c r="AK96" s="260"/>
      <c r="AL96" s="208"/>
      <c r="AM96" s="277"/>
      <c r="AN96" s="212"/>
      <c r="AO96" s="212"/>
      <c r="AP96" s="118"/>
    </row>
    <row r="97" spans="1:42" s="38" customFormat="1" ht="15" customHeight="1" x14ac:dyDescent="0.2">
      <c r="A97" s="214" t="str">
        <f t="shared" ref="A97:A111" ca="1" si="32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204" t="str">
        <f t="shared" ref="AF97:AF112" ca="1" si="33">A97</f>
        <v/>
      </c>
      <c r="AG97" s="232"/>
      <c r="AH97" s="283">
        <f t="shared" ref="AH97:AH112" si="34">SUM(B97:AE97)</f>
        <v>0</v>
      </c>
      <c r="AI97" s="259"/>
      <c r="AJ97" s="223"/>
      <c r="AK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L97" s="208"/>
      <c r="AM97" s="244">
        <f t="shared" ref="AM97:AM112" ca="1" si="35">AH97+AK97</f>
        <v>0</v>
      </c>
      <c r="AN97" s="207"/>
      <c r="AO97" s="207"/>
      <c r="AP97" s="118"/>
    </row>
    <row r="98" spans="1:42" s="38" customFormat="1" ht="15" customHeight="1" x14ac:dyDescent="0.2">
      <c r="A98" s="214" t="str">
        <f t="shared" ca="1" si="32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204" t="str">
        <f t="shared" ca="1" si="33"/>
        <v/>
      </c>
      <c r="AG98" s="217"/>
      <c r="AH98" s="237">
        <f t="shared" si="34"/>
        <v>0</v>
      </c>
      <c r="AI98" s="259"/>
      <c r="AJ98" s="223"/>
      <c r="AK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L98" s="208"/>
      <c r="AM98" s="244">
        <f t="shared" ca="1" si="35"/>
        <v>0</v>
      </c>
      <c r="AN98" s="207"/>
      <c r="AO98" s="207"/>
      <c r="AP98" s="118"/>
    </row>
    <row r="99" spans="1:42" s="38" customFormat="1" ht="15" customHeight="1" x14ac:dyDescent="0.2">
      <c r="A99" s="214" t="str">
        <f t="shared" ca="1" si="32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204" t="str">
        <f t="shared" ca="1" si="33"/>
        <v/>
      </c>
      <c r="AG99" s="284"/>
      <c r="AH99" s="237">
        <f t="shared" si="34"/>
        <v>0</v>
      </c>
      <c r="AI99" s="259"/>
      <c r="AJ99" s="223"/>
      <c r="AK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L99" s="208"/>
      <c r="AM99" s="244">
        <f t="shared" ca="1" si="35"/>
        <v>0</v>
      </c>
      <c r="AN99" s="207"/>
      <c r="AO99" s="207"/>
      <c r="AP99" s="118"/>
    </row>
    <row r="100" spans="1:42" s="38" customFormat="1" ht="15" customHeight="1" x14ac:dyDescent="0.2">
      <c r="A100" s="214" t="str">
        <f t="shared" ca="1" si="32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204" t="str">
        <f t="shared" ca="1" si="33"/>
        <v/>
      </c>
      <c r="AG100" s="227"/>
      <c r="AH100" s="237">
        <f t="shared" si="34"/>
        <v>0</v>
      </c>
      <c r="AI100" s="259"/>
      <c r="AJ100" s="223"/>
      <c r="AK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L100" s="208"/>
      <c r="AM100" s="244">
        <f t="shared" ca="1" si="35"/>
        <v>0</v>
      </c>
      <c r="AN100" s="207"/>
      <c r="AO100" s="207"/>
      <c r="AP100" s="118"/>
    </row>
    <row r="101" spans="1:42" s="38" customFormat="1" ht="15" customHeight="1" x14ac:dyDescent="0.2">
      <c r="A101" s="214" t="str">
        <f t="shared" ca="1" si="32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204" t="str">
        <f t="shared" ca="1" si="33"/>
        <v/>
      </c>
      <c r="AG101" s="217"/>
      <c r="AH101" s="237">
        <f t="shared" si="34"/>
        <v>0</v>
      </c>
      <c r="AI101" s="259"/>
      <c r="AJ101" s="223"/>
      <c r="AK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L101" s="208"/>
      <c r="AM101" s="244">
        <f t="shared" ca="1" si="35"/>
        <v>0</v>
      </c>
      <c r="AN101" s="207"/>
      <c r="AO101" s="207"/>
      <c r="AP101" s="118"/>
    </row>
    <row r="102" spans="1:42" s="38" customFormat="1" ht="15" hidden="1" customHeight="1" outlineLevel="1" x14ac:dyDescent="0.2">
      <c r="A102" s="214" t="str">
        <f t="shared" ca="1" si="32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204" t="str">
        <f t="shared" ca="1" si="33"/>
        <v/>
      </c>
      <c r="AG102" s="284"/>
      <c r="AH102" s="237">
        <f t="shared" si="34"/>
        <v>0</v>
      </c>
      <c r="AI102" s="259"/>
      <c r="AJ102" s="223"/>
      <c r="AK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L102" s="208"/>
      <c r="AM102" s="244">
        <f t="shared" ca="1" si="35"/>
        <v>0</v>
      </c>
      <c r="AN102" s="207"/>
      <c r="AO102" s="207"/>
      <c r="AP102" s="118"/>
    </row>
    <row r="103" spans="1:42" s="38" customFormat="1" ht="15" hidden="1" customHeight="1" outlineLevel="1" x14ac:dyDescent="0.2">
      <c r="A103" s="214" t="str">
        <f t="shared" ca="1" si="32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204" t="str">
        <f t="shared" ca="1" si="33"/>
        <v/>
      </c>
      <c r="AG103" s="227"/>
      <c r="AH103" s="237">
        <f t="shared" si="34"/>
        <v>0</v>
      </c>
      <c r="AI103" s="259"/>
      <c r="AJ103" s="223"/>
      <c r="AK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L103" s="208"/>
      <c r="AM103" s="244">
        <f t="shared" ca="1" si="35"/>
        <v>0</v>
      </c>
      <c r="AN103" s="207"/>
      <c r="AO103" s="207"/>
      <c r="AP103" s="118"/>
    </row>
    <row r="104" spans="1:42" s="38" customFormat="1" ht="15" hidden="1" customHeight="1" outlineLevel="1" x14ac:dyDescent="0.2">
      <c r="A104" s="214" t="str">
        <f t="shared" ca="1" si="32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204" t="str">
        <f t="shared" ca="1" si="33"/>
        <v/>
      </c>
      <c r="AG104" s="232"/>
      <c r="AH104" s="237">
        <f t="shared" si="34"/>
        <v>0</v>
      </c>
      <c r="AI104" s="259"/>
      <c r="AJ104" s="223"/>
      <c r="AK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L104" s="208"/>
      <c r="AM104" s="244">
        <f t="shared" ca="1" si="35"/>
        <v>0</v>
      </c>
      <c r="AN104" s="207"/>
      <c r="AO104" s="207"/>
      <c r="AP104" s="118"/>
    </row>
    <row r="105" spans="1:42" s="38" customFormat="1" ht="15" hidden="1" customHeight="1" outlineLevel="1" x14ac:dyDescent="0.2">
      <c r="A105" s="214" t="str">
        <f t="shared" ca="1" si="32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204" t="str">
        <f t="shared" ca="1" si="33"/>
        <v/>
      </c>
      <c r="AG105" s="217"/>
      <c r="AH105" s="237">
        <f t="shared" si="34"/>
        <v>0</v>
      </c>
      <c r="AI105" s="259"/>
      <c r="AJ105" s="223"/>
      <c r="AK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L105" s="208"/>
      <c r="AM105" s="244">
        <f t="shared" ca="1" si="35"/>
        <v>0</v>
      </c>
      <c r="AN105" s="207"/>
      <c r="AO105" s="207"/>
      <c r="AP105" s="118"/>
    </row>
    <row r="106" spans="1:42" s="38" customFormat="1" ht="15" hidden="1" customHeight="1" outlineLevel="1" x14ac:dyDescent="0.2">
      <c r="A106" s="214" t="str">
        <f t="shared" ca="1" si="32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204" t="str">
        <f t="shared" ca="1" si="33"/>
        <v/>
      </c>
      <c r="AG106" s="217"/>
      <c r="AH106" s="237">
        <f t="shared" si="34"/>
        <v>0</v>
      </c>
      <c r="AI106" s="259"/>
      <c r="AJ106" s="223"/>
      <c r="AK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L106" s="208"/>
      <c r="AM106" s="244">
        <f t="shared" ca="1" si="35"/>
        <v>0</v>
      </c>
      <c r="AN106" s="207"/>
      <c r="AO106" s="207"/>
      <c r="AP106" s="118"/>
    </row>
    <row r="107" spans="1:42" s="38" customFormat="1" ht="15" hidden="1" customHeight="1" outlineLevel="1" x14ac:dyDescent="0.2">
      <c r="A107" s="214" t="str">
        <f t="shared" ca="1" si="32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204" t="str">
        <f t="shared" ca="1" si="33"/>
        <v/>
      </c>
      <c r="AG107" s="232"/>
      <c r="AH107" s="237">
        <f t="shared" si="34"/>
        <v>0</v>
      </c>
      <c r="AI107" s="259"/>
      <c r="AJ107" s="223"/>
      <c r="AK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L107" s="208"/>
      <c r="AM107" s="244">
        <f t="shared" ca="1" si="35"/>
        <v>0</v>
      </c>
      <c r="AN107" s="285"/>
      <c r="AO107" s="285"/>
      <c r="AP107" s="118"/>
    </row>
    <row r="108" spans="1:42" s="49" customFormat="1" ht="15" hidden="1" customHeight="1" outlineLevel="1" x14ac:dyDescent="0.2">
      <c r="A108" s="214" t="str">
        <f t="shared" ca="1" si="32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204" t="str">
        <f t="shared" ca="1" si="33"/>
        <v/>
      </c>
      <c r="AG108" s="232"/>
      <c r="AH108" s="237">
        <f t="shared" si="34"/>
        <v>0</v>
      </c>
      <c r="AI108" s="259"/>
      <c r="AJ108" s="223"/>
      <c r="AK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L108" s="208"/>
      <c r="AM108" s="244">
        <f t="shared" ca="1" si="35"/>
        <v>0</v>
      </c>
      <c r="AN108" s="285"/>
      <c r="AO108" s="285"/>
      <c r="AP108" s="286"/>
    </row>
    <row r="109" spans="1:42" s="49" customFormat="1" ht="15" hidden="1" customHeight="1" outlineLevel="1" x14ac:dyDescent="0.2">
      <c r="A109" s="214" t="str">
        <f t="shared" ca="1" si="32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204" t="str">
        <f t="shared" ca="1" si="33"/>
        <v/>
      </c>
      <c r="AG109" s="217"/>
      <c r="AH109" s="237">
        <f t="shared" si="34"/>
        <v>0</v>
      </c>
      <c r="AI109" s="259"/>
      <c r="AJ109" s="223"/>
      <c r="AK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L109" s="208"/>
      <c r="AM109" s="244">
        <f t="shared" ca="1" si="35"/>
        <v>0</v>
      </c>
      <c r="AN109" s="285"/>
      <c r="AO109" s="285"/>
      <c r="AP109" s="286"/>
    </row>
    <row r="110" spans="1:42" ht="15" hidden="1" customHeight="1" outlineLevel="1" x14ac:dyDescent="0.2">
      <c r="A110" s="214" t="str">
        <f t="shared" ca="1" si="32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204" t="str">
        <f t="shared" ca="1" si="33"/>
        <v/>
      </c>
      <c r="AG110" s="217"/>
      <c r="AH110" s="237">
        <f t="shared" si="34"/>
        <v>0</v>
      </c>
      <c r="AI110" s="259"/>
      <c r="AJ110" s="223"/>
      <c r="AK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L110" s="208"/>
      <c r="AM110" s="244">
        <f t="shared" ca="1" si="35"/>
        <v>0</v>
      </c>
      <c r="AN110" s="285"/>
      <c r="AO110" s="285"/>
      <c r="AP110" s="122"/>
    </row>
    <row r="111" spans="1:42" ht="15" hidden="1" customHeight="1" outlineLevel="1" x14ac:dyDescent="0.2">
      <c r="A111" s="214" t="str">
        <f t="shared" ca="1" si="32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204" t="str">
        <f t="shared" ca="1" si="33"/>
        <v/>
      </c>
      <c r="AG111" s="217"/>
      <c r="AH111" s="237">
        <f t="shared" si="34"/>
        <v>0</v>
      </c>
      <c r="AI111" s="259"/>
      <c r="AJ111" s="223"/>
      <c r="AK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L111" s="208"/>
      <c r="AM111" s="244">
        <f t="shared" ca="1" si="35"/>
        <v>0</v>
      </c>
      <c r="AN111" s="285"/>
      <c r="AO111" s="285"/>
      <c r="AP111" s="122"/>
    </row>
    <row r="112" spans="1:42" ht="15" customHeight="1" collapsed="1" x14ac:dyDescent="0.2">
      <c r="A112" s="214" t="s">
        <v>188</v>
      </c>
      <c r="B112" s="235">
        <f>SUM(B97:B111)</f>
        <v>0</v>
      </c>
      <c r="C112" s="235">
        <f t="shared" ref="C112:AE112" si="36">SUM(C97:C111)</f>
        <v>0</v>
      </c>
      <c r="D112" s="235">
        <f t="shared" si="36"/>
        <v>0</v>
      </c>
      <c r="E112" s="235">
        <f t="shared" si="36"/>
        <v>0</v>
      </c>
      <c r="F112" s="235">
        <f t="shared" si="36"/>
        <v>0</v>
      </c>
      <c r="G112" s="235">
        <f t="shared" si="36"/>
        <v>0</v>
      </c>
      <c r="H112" s="235">
        <f t="shared" si="36"/>
        <v>0</v>
      </c>
      <c r="I112" s="235">
        <f t="shared" si="36"/>
        <v>0</v>
      </c>
      <c r="J112" s="235">
        <f t="shared" si="36"/>
        <v>0</v>
      </c>
      <c r="K112" s="235">
        <f t="shared" si="36"/>
        <v>0</v>
      </c>
      <c r="L112" s="235">
        <f t="shared" si="36"/>
        <v>0</v>
      </c>
      <c r="M112" s="235">
        <f t="shared" si="36"/>
        <v>0</v>
      </c>
      <c r="N112" s="235">
        <f t="shared" si="36"/>
        <v>0</v>
      </c>
      <c r="O112" s="235">
        <f t="shared" si="36"/>
        <v>0</v>
      </c>
      <c r="P112" s="235">
        <f t="shared" si="36"/>
        <v>0</v>
      </c>
      <c r="Q112" s="235">
        <f t="shared" si="36"/>
        <v>0</v>
      </c>
      <c r="R112" s="235">
        <f t="shared" si="36"/>
        <v>0</v>
      </c>
      <c r="S112" s="235">
        <f t="shared" si="36"/>
        <v>0</v>
      </c>
      <c r="T112" s="235">
        <f t="shared" si="36"/>
        <v>0</v>
      </c>
      <c r="U112" s="235">
        <f t="shared" si="36"/>
        <v>0</v>
      </c>
      <c r="V112" s="235">
        <f t="shared" si="36"/>
        <v>0</v>
      </c>
      <c r="W112" s="235">
        <f t="shared" si="36"/>
        <v>0</v>
      </c>
      <c r="X112" s="235">
        <f t="shared" si="36"/>
        <v>0</v>
      </c>
      <c r="Y112" s="235">
        <f t="shared" si="36"/>
        <v>0</v>
      </c>
      <c r="Z112" s="235">
        <f t="shared" si="36"/>
        <v>0</v>
      </c>
      <c r="AA112" s="235">
        <f t="shared" si="36"/>
        <v>0</v>
      </c>
      <c r="AB112" s="235">
        <f t="shared" si="36"/>
        <v>0</v>
      </c>
      <c r="AC112" s="235">
        <f t="shared" si="36"/>
        <v>0</v>
      </c>
      <c r="AD112" s="235">
        <f t="shared" si="36"/>
        <v>0</v>
      </c>
      <c r="AE112" s="235">
        <f t="shared" si="36"/>
        <v>0</v>
      </c>
      <c r="AF112" s="216" t="str">
        <f t="shared" si="33"/>
        <v>Arbeitszeit Total Projekte</v>
      </c>
      <c r="AG112" s="217"/>
      <c r="AH112" s="237">
        <f t="shared" si="34"/>
        <v>0</v>
      </c>
      <c r="AI112" s="259"/>
      <c r="AJ112" s="223"/>
      <c r="AK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L112" s="208"/>
      <c r="AM112" s="244">
        <f t="shared" ca="1" si="35"/>
        <v>0</v>
      </c>
      <c r="AN112" s="287"/>
      <c r="AO112" s="287"/>
      <c r="AP112" s="122"/>
    </row>
    <row r="113" spans="1:42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89"/>
      <c r="AG113" s="284"/>
      <c r="AH113" s="225"/>
      <c r="AI113" s="290"/>
      <c r="AJ113" s="225"/>
      <c r="AK113" s="225"/>
      <c r="AL113" s="225"/>
      <c r="AM113" s="129"/>
      <c r="AN113" s="225"/>
      <c r="AO113" s="225"/>
      <c r="AP113" s="118"/>
    </row>
    <row r="114" spans="1:42" s="38" customFormat="1" ht="15" hidden="1" customHeight="1" outlineLevel="1" x14ac:dyDescent="0.2">
      <c r="A114" s="214" t="s">
        <v>214</v>
      </c>
      <c r="B114" s="239">
        <f t="shared" ref="B114:AE114" si="37">ROUND(((B23+B45+B91)-SUMPRODUCT((B97:B111)*(EB.Projektart.Bereich=6)))*1440,0)/1440</f>
        <v>0</v>
      </c>
      <c r="C114" s="239">
        <f t="shared" si="37"/>
        <v>0</v>
      </c>
      <c r="D114" s="239">
        <f t="shared" si="37"/>
        <v>0</v>
      </c>
      <c r="E114" s="239">
        <f t="shared" si="37"/>
        <v>0</v>
      </c>
      <c r="F114" s="239">
        <f t="shared" si="37"/>
        <v>0</v>
      </c>
      <c r="G114" s="239">
        <f t="shared" si="37"/>
        <v>0</v>
      </c>
      <c r="H114" s="239">
        <f t="shared" si="37"/>
        <v>0</v>
      </c>
      <c r="I114" s="239">
        <f t="shared" si="37"/>
        <v>0</v>
      </c>
      <c r="J114" s="239">
        <f t="shared" si="37"/>
        <v>0</v>
      </c>
      <c r="K114" s="239">
        <f t="shared" si="37"/>
        <v>0</v>
      </c>
      <c r="L114" s="239">
        <f t="shared" si="37"/>
        <v>0</v>
      </c>
      <c r="M114" s="239">
        <f t="shared" si="37"/>
        <v>0</v>
      </c>
      <c r="N114" s="239">
        <f t="shared" si="37"/>
        <v>0</v>
      </c>
      <c r="O114" s="239">
        <f t="shared" si="37"/>
        <v>0</v>
      </c>
      <c r="P114" s="239">
        <f t="shared" si="37"/>
        <v>0</v>
      </c>
      <c r="Q114" s="239">
        <f t="shared" si="37"/>
        <v>0</v>
      </c>
      <c r="R114" s="239">
        <f t="shared" si="37"/>
        <v>0</v>
      </c>
      <c r="S114" s="239">
        <f t="shared" si="37"/>
        <v>0</v>
      </c>
      <c r="T114" s="239">
        <f t="shared" si="37"/>
        <v>0</v>
      </c>
      <c r="U114" s="239">
        <f t="shared" si="37"/>
        <v>0</v>
      </c>
      <c r="V114" s="239">
        <f t="shared" si="37"/>
        <v>0</v>
      </c>
      <c r="W114" s="239">
        <f t="shared" si="37"/>
        <v>0</v>
      </c>
      <c r="X114" s="239">
        <f t="shared" si="37"/>
        <v>0</v>
      </c>
      <c r="Y114" s="239">
        <f t="shared" si="37"/>
        <v>0</v>
      </c>
      <c r="Z114" s="239">
        <f t="shared" si="37"/>
        <v>0</v>
      </c>
      <c r="AA114" s="239">
        <f t="shared" si="37"/>
        <v>0</v>
      </c>
      <c r="AB114" s="239">
        <f t="shared" si="37"/>
        <v>0</v>
      </c>
      <c r="AC114" s="239">
        <f t="shared" si="37"/>
        <v>0</v>
      </c>
      <c r="AD114" s="239">
        <f t="shared" si="37"/>
        <v>0</v>
      </c>
      <c r="AE114" s="239">
        <f t="shared" si="37"/>
        <v>0</v>
      </c>
      <c r="AF114" s="216" t="str">
        <f t="shared" ref="AF114" si="38">A114</f>
        <v>Differenz AZ - Projektart 6</v>
      </c>
      <c r="AG114" s="227"/>
      <c r="AH114" s="237">
        <f>SUM(B114:AE114)</f>
        <v>0</v>
      </c>
      <c r="AI114" s="259"/>
      <c r="AJ114" s="260"/>
      <c r="AK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L114" s="260"/>
      <c r="AM114" s="244">
        <f ca="1">AH114+AK114</f>
        <v>0</v>
      </c>
      <c r="AN114" s="260"/>
      <c r="AO114" s="260"/>
      <c r="AP114" s="118"/>
    </row>
    <row r="115" spans="1:42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3"/>
      <c r="AG115" s="294"/>
      <c r="AH115" s="122"/>
      <c r="AI115" s="122"/>
      <c r="AJ115" s="122"/>
      <c r="AK115" s="122"/>
      <c r="AL115" s="122"/>
      <c r="AM115" s="295"/>
      <c r="AN115" s="122"/>
      <c r="AO115" s="122"/>
      <c r="AP115" s="122"/>
    </row>
    <row r="116" spans="1:42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3"/>
      <c r="AG116" s="294"/>
      <c r="AH116" s="122"/>
      <c r="AI116" s="122"/>
      <c r="AJ116" s="122"/>
      <c r="AK116" s="122"/>
      <c r="AL116" s="122"/>
      <c r="AM116" s="295"/>
      <c r="AN116" s="122"/>
      <c r="AO116" s="122"/>
      <c r="AP116" s="122"/>
    </row>
    <row r="117" spans="1:42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7"/>
      <c r="AG117" s="298"/>
      <c r="AH117" s="296"/>
      <c r="AI117" s="296"/>
      <c r="AJ117" s="296"/>
      <c r="AK117" s="296"/>
      <c r="AL117" s="296"/>
      <c r="AM117" s="299"/>
      <c r="AN117" s="286"/>
      <c r="AO117" s="286"/>
      <c r="AP117" s="122"/>
    </row>
    <row r="118" spans="1:42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122"/>
    </row>
    <row r="119" spans="1:42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3" t="str">
        <f ca="1">IF(AF67&lt;&gt;Monat.KomAZText,AF67 &amp; CHAR(10),"") &amp;
IF(AF84&lt;&gt;Monat.FerienText,AF84,"")</f>
        <v/>
      </c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122"/>
    </row>
    <row r="120" spans="1:42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122"/>
    </row>
    <row r="121" spans="1:42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3"/>
      <c r="AG121" s="294"/>
      <c r="AH121" s="122"/>
      <c r="AI121" s="122"/>
      <c r="AJ121" s="122"/>
      <c r="AK121" s="122"/>
      <c r="AL121" s="122"/>
      <c r="AM121" s="295"/>
      <c r="AN121" s="122"/>
      <c r="AO121" s="122"/>
      <c r="AP121" s="122"/>
    </row>
    <row r="122" spans="1:42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3"/>
      <c r="AG122" s="294"/>
      <c r="AH122" s="122"/>
      <c r="AI122" s="122"/>
      <c r="AJ122" s="122"/>
      <c r="AK122" s="122"/>
      <c r="AL122" s="122"/>
      <c r="AM122" s="295"/>
      <c r="AN122" s="122"/>
      <c r="AO122" s="122"/>
      <c r="AP122" s="122"/>
    </row>
    <row r="123" spans="1:42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3"/>
      <c r="AG123" s="294"/>
      <c r="AH123" s="122"/>
      <c r="AI123" s="122"/>
      <c r="AJ123" s="122"/>
      <c r="AK123" s="122"/>
      <c r="AL123" s="122"/>
      <c r="AM123" s="295"/>
      <c r="AN123" s="122"/>
      <c r="AO123" s="122"/>
      <c r="AP123" s="122"/>
    </row>
    <row r="124" spans="1:42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122"/>
    </row>
    <row r="125" spans="1:42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</row>
    <row r="126" spans="1:42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</row>
    <row r="127" spans="1:42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</row>
    <row r="128" spans="1:42" x14ac:dyDescent="0.2">
      <c r="AF128" s="50"/>
      <c r="AG128" s="50"/>
      <c r="AM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N1:AO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G10:AH10"/>
    <mergeCell ref="AN10:AO10"/>
    <mergeCell ref="B117:Q117"/>
    <mergeCell ref="B119:Q119"/>
    <mergeCell ref="Y119:AE120"/>
    <mergeCell ref="AF119:AO120"/>
    <mergeCell ref="B120:Q120"/>
    <mergeCell ref="T120:X120"/>
  </mergeCells>
  <conditionalFormatting sqref="AH114 B114:AE114">
    <cfRule type="expression" dxfId="66" priority="16">
      <formula>ABS(B$114)&gt;=ROUND(1/24/60,9)</formula>
    </cfRule>
  </conditionalFormatting>
  <conditionalFormatting sqref="B13:AE22 B34:AE44 B25:AE30 B60:AE61 B67:AE67 B71:AE72 B84:AE84 B86:AE95 B97:AE111">
    <cfRule type="expression" dxfId="65" priority="14">
      <formula>WEEKDAY(B$10,2)&gt;5</formula>
    </cfRule>
    <cfRule type="expression" dxfId="64" priority="15">
      <formula>AND(NOT(ISERROR(MATCH(B$10,T.Feiertage.Bereich,0))),OFFSET(T.Feiertage.Bereich,MATCH(B$10,T.Feiertage.Bereich,0)-1,1,1,1)&gt;0)</formula>
    </cfRule>
    <cfRule type="expression" dxfId="63" priority="17">
      <formula>B$11=0</formula>
    </cfRule>
  </conditionalFormatting>
  <conditionalFormatting sqref="AM60:AN60">
    <cfRule type="expression" dxfId="62" priority="22">
      <formula>AND(T.50_Vetsuisse,AM60&gt;=T.GrenzeAngÜZ50_Vetsuisse)</formula>
    </cfRule>
    <cfRule type="expression" dxfId="61" priority="23">
      <formula>AND(T.50_Vetsuisse,AM60&gt;T.GrenzeAngÜZ50_Vetsuisse*T.AngÜZ50_Vetsuisse_orange)</formula>
    </cfRule>
  </conditionalFormatting>
  <conditionalFormatting sqref="B56:AE56">
    <cfRule type="expression" dxfId="60" priority="8">
      <formula>AND(B$10&gt;TODAY(),EB.UJAustritt="")</formula>
    </cfRule>
    <cfRule type="expression" dxfId="59" priority="9">
      <formula>B$56&gt;99.99/24</formula>
    </cfRule>
    <cfRule type="expression" dxfId="58" priority="11">
      <formula>B$56&lt;99.99/24*-1</formula>
    </cfRule>
  </conditionalFormatting>
  <conditionalFormatting sqref="AN55:AO55">
    <cfRule type="cellIs" dxfId="57" priority="24" operator="greaterThan">
      <formula>1/24/60</formula>
    </cfRule>
    <cfRule type="expression" dxfId="56" priority="25">
      <formula>AND(AN55&lt;=1/24/60*-1,TODAY()&gt;=DATE(EB.Jahr,MONTH(12),DAY(31)))</formula>
    </cfRule>
  </conditionalFormatting>
  <conditionalFormatting sqref="AH58 B56:AE56">
    <cfRule type="expression" dxfId="55" priority="10">
      <formula>B$56&gt;1/24/60</formula>
    </cfRule>
    <cfRule type="expression" dxfId="54" priority="12">
      <formula>AND(B$56&lt;=1/24/60*-1,B$56)</formula>
    </cfRule>
  </conditionalFormatting>
  <conditionalFormatting sqref="B14:AE22 B36:AE44 B26:AE30">
    <cfRule type="expression" dxfId="53" priority="6">
      <formula>AND(B14&lt;B13,B14&lt;&gt;"")</formula>
    </cfRule>
  </conditionalFormatting>
  <conditionalFormatting sqref="B72:AE73">
    <cfRule type="expression" dxfId="52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51" priority="18">
      <formula>$P$4&lt;&gt;""</formula>
    </cfRule>
  </conditionalFormatting>
  <conditionalFormatting sqref="V4">
    <cfRule type="expression" dxfId="50" priority="19">
      <formula>$V$4&lt;&gt;""</formula>
    </cfRule>
  </conditionalFormatting>
  <conditionalFormatting sqref="AO60">
    <cfRule type="expression" dxfId="49" priority="26">
      <formula>AND(T.50_Vetsuisse,AO60&gt;=T.GrenzeAngÜZ50_Vetsuisse)</formula>
    </cfRule>
    <cfRule type="expression" dxfId="48" priority="27">
      <formula>AND(T.50_Vetsuisse,AO60&gt;T.GrenzeAngÜZ50_Vetsuisse*T.AngÜZ50_Vetsuisse_orange)</formula>
    </cfRule>
  </conditionalFormatting>
  <conditionalFormatting sqref="AI72:AI73">
    <cfRule type="expression" dxfId="47" priority="20">
      <formula>AND(T.50_Vetsuisse,$AI$72&lt;&gt;$AI$73)</formula>
    </cfRule>
    <cfRule type="expression" dxfId="46" priority="21">
      <formula>$AI$72&gt;$AI$73</formula>
    </cfRule>
  </conditionalFormatting>
  <conditionalFormatting sqref="B55:AE55">
    <cfRule type="expression" dxfId="45" priority="7">
      <formula>AND(B$10&lt;=TODAY(),B$55&lt;1/24/60*-1)</formula>
    </cfRule>
  </conditionalFormatting>
  <conditionalFormatting sqref="AF67 AF84">
    <cfRule type="expression" dxfId="44" priority="5">
      <formula>AF67&lt;&gt;A67</formula>
    </cfRule>
  </conditionalFormatting>
  <conditionalFormatting sqref="B67:AE67">
    <cfRule type="expression" dxfId="43" priority="4">
      <formula>AND(B66=0,B67&gt;0)</formula>
    </cfRule>
  </conditionalFormatting>
  <conditionalFormatting sqref="B34:AE34">
    <cfRule type="expression" dxfId="42" priority="3">
      <formula>T.MedizinischeMikrobiologie</formula>
    </cfRule>
  </conditionalFormatting>
  <conditionalFormatting sqref="AJ51">
    <cfRule type="expression" dxfId="41" priority="2">
      <formula>ISNUMBER(AJ51)</formula>
    </cfRule>
  </conditionalFormatting>
  <conditionalFormatting sqref="AM51">
    <cfRule type="expression" dxfId="40" priority="1">
      <formula>ISNUMBER(AM51)</formula>
    </cfRule>
  </conditionalFormatting>
  <dataValidations count="2">
    <dataValidation type="list" allowBlank="1" showInputMessage="1" showErrorMessage="1" errorTitle="Start Gepl. Nachtdienst" error="Bitte wählen Sie einen Wert aus der Liste." sqref="B72:AE72" xr:uid="{2C876019-87BC-448C-9404-F0357A1652F8}">
      <formula1>T.JaNein.Bereich</formula1>
    </dataValidation>
    <dataValidation type="list" allowBlank="1" showInputMessage="1" showErrorMessage="1" errorTitle="Pikett Bereitschaft" error="Bitte wählen Sie einen Wert aus der Liste." sqref="B34:AE34" xr:uid="{EF79BDA1-691D-4FB1-8BE0-636896184C04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2B82-681A-45E3-8722-A44A668F1FA1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Dezember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Dezember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Do</v>
      </c>
      <c r="C9" s="194" t="str">
        <f t="shared" si="0"/>
        <v>Fr</v>
      </c>
      <c r="D9" s="194" t="str">
        <f t="shared" si="0"/>
        <v>Sa</v>
      </c>
      <c r="E9" s="194" t="str">
        <f t="shared" si="0"/>
        <v>So</v>
      </c>
      <c r="F9" s="194" t="str">
        <f t="shared" si="0"/>
        <v>Mo</v>
      </c>
      <c r="G9" s="194" t="str">
        <f t="shared" si="0"/>
        <v>Di</v>
      </c>
      <c r="H9" s="194" t="str">
        <f t="shared" si="0"/>
        <v>Mi</v>
      </c>
      <c r="I9" s="194" t="str">
        <f t="shared" si="0"/>
        <v>Do</v>
      </c>
      <c r="J9" s="194" t="str">
        <f t="shared" si="0"/>
        <v>Fr</v>
      </c>
      <c r="K9" s="194" t="str">
        <f t="shared" si="0"/>
        <v>Sa</v>
      </c>
      <c r="L9" s="194" t="str">
        <f t="shared" si="0"/>
        <v>So</v>
      </c>
      <c r="M9" s="194" t="str">
        <f t="shared" si="0"/>
        <v>Mo</v>
      </c>
      <c r="N9" s="194" t="str">
        <f t="shared" si="0"/>
        <v>Di</v>
      </c>
      <c r="O9" s="194" t="str">
        <f t="shared" si="0"/>
        <v>Mi</v>
      </c>
      <c r="P9" s="194" t="str">
        <f t="shared" si="0"/>
        <v>Do</v>
      </c>
      <c r="Q9" s="194" t="str">
        <f t="shared" si="0"/>
        <v>Fr</v>
      </c>
      <c r="R9" s="194" t="str">
        <f t="shared" si="0"/>
        <v>Sa</v>
      </c>
      <c r="S9" s="194" t="str">
        <f t="shared" si="0"/>
        <v>So</v>
      </c>
      <c r="T9" s="194" t="str">
        <f t="shared" si="0"/>
        <v>Mo</v>
      </c>
      <c r="U9" s="194" t="str">
        <f t="shared" si="0"/>
        <v>Di</v>
      </c>
      <c r="V9" s="194" t="str">
        <f t="shared" si="0"/>
        <v>Mi</v>
      </c>
      <c r="W9" s="194" t="str">
        <f t="shared" si="0"/>
        <v>Do</v>
      </c>
      <c r="X9" s="194" t="str">
        <f t="shared" si="0"/>
        <v>Fr</v>
      </c>
      <c r="Y9" s="194" t="str">
        <f t="shared" si="0"/>
        <v>Sa</v>
      </c>
      <c r="Z9" s="194" t="str">
        <f t="shared" si="0"/>
        <v>So</v>
      </c>
      <c r="AA9" s="194" t="str">
        <f t="shared" si="0"/>
        <v>Mo</v>
      </c>
      <c r="AB9" s="194" t="str">
        <f t="shared" si="0"/>
        <v>Di</v>
      </c>
      <c r="AC9" s="194" t="str">
        <f t="shared" si="0"/>
        <v>Mi</v>
      </c>
      <c r="AD9" s="194" t="str">
        <f t="shared" si="0"/>
        <v>Do</v>
      </c>
      <c r="AE9" s="194" t="str">
        <f t="shared" si="0"/>
        <v>Fr</v>
      </c>
      <c r="AF9" s="194" t="str">
        <f t="shared" si="0"/>
        <v>Sa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43434</v>
      </c>
      <c r="C10" s="196">
        <f>B10+1</f>
        <v>43435</v>
      </c>
      <c r="D10" s="196">
        <f t="shared" ref="D10:AF10" si="1">C10+1</f>
        <v>43436</v>
      </c>
      <c r="E10" s="196">
        <f t="shared" si="1"/>
        <v>43437</v>
      </c>
      <c r="F10" s="196">
        <f t="shared" si="1"/>
        <v>43438</v>
      </c>
      <c r="G10" s="196">
        <f t="shared" si="1"/>
        <v>43439</v>
      </c>
      <c r="H10" s="196">
        <f t="shared" si="1"/>
        <v>43440</v>
      </c>
      <c r="I10" s="196">
        <f t="shared" si="1"/>
        <v>43441</v>
      </c>
      <c r="J10" s="196">
        <f t="shared" si="1"/>
        <v>43442</v>
      </c>
      <c r="K10" s="196">
        <f t="shared" si="1"/>
        <v>43443</v>
      </c>
      <c r="L10" s="196">
        <f t="shared" si="1"/>
        <v>43444</v>
      </c>
      <c r="M10" s="196">
        <f t="shared" si="1"/>
        <v>43445</v>
      </c>
      <c r="N10" s="196">
        <f t="shared" si="1"/>
        <v>43446</v>
      </c>
      <c r="O10" s="196">
        <f t="shared" si="1"/>
        <v>43447</v>
      </c>
      <c r="P10" s="196">
        <f t="shared" si="1"/>
        <v>43448</v>
      </c>
      <c r="Q10" s="196">
        <f t="shared" si="1"/>
        <v>43449</v>
      </c>
      <c r="R10" s="196">
        <f t="shared" si="1"/>
        <v>43450</v>
      </c>
      <c r="S10" s="196">
        <f t="shared" si="1"/>
        <v>43451</v>
      </c>
      <c r="T10" s="196">
        <f t="shared" si="1"/>
        <v>43452</v>
      </c>
      <c r="U10" s="196">
        <f t="shared" si="1"/>
        <v>43453</v>
      </c>
      <c r="V10" s="196">
        <f t="shared" si="1"/>
        <v>43454</v>
      </c>
      <c r="W10" s="196">
        <f t="shared" si="1"/>
        <v>43455</v>
      </c>
      <c r="X10" s="196">
        <f t="shared" si="1"/>
        <v>43456</v>
      </c>
      <c r="Y10" s="196">
        <f t="shared" si="1"/>
        <v>43457</v>
      </c>
      <c r="Z10" s="196">
        <f t="shared" si="1"/>
        <v>43458</v>
      </c>
      <c r="AA10" s="196">
        <f t="shared" si="1"/>
        <v>43459</v>
      </c>
      <c r="AB10" s="196">
        <f t="shared" si="1"/>
        <v>43460</v>
      </c>
      <c r="AC10" s="196">
        <f t="shared" si="1"/>
        <v>43461</v>
      </c>
      <c r="AD10" s="196">
        <f t="shared" si="1"/>
        <v>43462</v>
      </c>
      <c r="AE10" s="196">
        <f t="shared" si="1"/>
        <v>43463</v>
      </c>
      <c r="AF10" s="196">
        <f t="shared" si="1"/>
        <v>43464</v>
      </c>
      <c r="AG10" s="197" t="str">
        <f t="shared" ref="AG10:AG56" si="2">A10</f>
        <v>Tag</v>
      </c>
      <c r="AH10" s="485" t="str">
        <f>"Total " &amp; INDEX(EB.Monate.Bereich,MONTH(Monat.Tag1))</f>
        <v>Total Dezember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1</v>
      </c>
      <c r="C11" s="201">
        <f t="shared" ca="1" si="3"/>
        <v>1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0.5</v>
      </c>
      <c r="Z11" s="203">
        <f t="shared" ca="1" si="3"/>
        <v>0</v>
      </c>
      <c r="AA11" s="201">
        <f t="shared" ca="1" si="3"/>
        <v>0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0.7142857142857143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0.35</v>
      </c>
      <c r="C52" s="78">
        <f t="shared" ca="1" si="14"/>
        <v>0.35</v>
      </c>
      <c r="D52" s="79">
        <f t="shared" ca="1" si="14"/>
        <v>0</v>
      </c>
      <c r="E52" s="78">
        <f t="shared" ca="1" si="14"/>
        <v>0</v>
      </c>
      <c r="F52" s="79">
        <f t="shared" ca="1" si="14"/>
        <v>0.35</v>
      </c>
      <c r="G52" s="79">
        <f t="shared" ca="1" si="14"/>
        <v>0.35</v>
      </c>
      <c r="H52" s="79">
        <f t="shared" ca="1" si="14"/>
        <v>0.35</v>
      </c>
      <c r="I52" s="79">
        <f t="shared" ca="1" si="14"/>
        <v>0.35</v>
      </c>
      <c r="J52" s="78">
        <f t="shared" ca="1" si="14"/>
        <v>0.35</v>
      </c>
      <c r="K52" s="79">
        <f t="shared" ca="1" si="14"/>
        <v>0</v>
      </c>
      <c r="L52" s="78">
        <f t="shared" ca="1" si="14"/>
        <v>0</v>
      </c>
      <c r="M52" s="79">
        <f t="shared" ca="1" si="14"/>
        <v>0.35</v>
      </c>
      <c r="N52" s="79">
        <f t="shared" ca="1" si="14"/>
        <v>0.35</v>
      </c>
      <c r="O52" s="79">
        <f t="shared" ca="1" si="14"/>
        <v>0.35</v>
      </c>
      <c r="P52" s="79">
        <f t="shared" ca="1" si="14"/>
        <v>0.35</v>
      </c>
      <c r="Q52" s="78">
        <f t="shared" ca="1" si="14"/>
        <v>0.35</v>
      </c>
      <c r="R52" s="79">
        <f t="shared" ca="1" si="14"/>
        <v>0</v>
      </c>
      <c r="S52" s="78">
        <f t="shared" ca="1" si="14"/>
        <v>0</v>
      </c>
      <c r="T52" s="78">
        <f t="shared" ca="1" si="14"/>
        <v>0.35</v>
      </c>
      <c r="U52" s="79">
        <f t="shared" ca="1" si="14"/>
        <v>0.35</v>
      </c>
      <c r="V52" s="79">
        <f t="shared" ca="1" si="14"/>
        <v>0.35</v>
      </c>
      <c r="W52" s="79">
        <f t="shared" ca="1" si="14"/>
        <v>0.35</v>
      </c>
      <c r="X52" s="78">
        <f t="shared" ca="1" si="14"/>
        <v>0.35</v>
      </c>
      <c r="Y52" s="79">
        <f t="shared" ca="1" si="14"/>
        <v>0</v>
      </c>
      <c r="Z52" s="80">
        <f t="shared" ca="1" si="14"/>
        <v>0</v>
      </c>
      <c r="AA52" s="79">
        <f t="shared" ca="1" si="14"/>
        <v>0</v>
      </c>
      <c r="AB52" s="79">
        <f t="shared" ca="1" si="14"/>
        <v>0.35</v>
      </c>
      <c r="AC52" s="79">
        <f t="shared" ca="1" si="14"/>
        <v>0.35</v>
      </c>
      <c r="AD52" s="79">
        <f t="shared" ca="1" si="14"/>
        <v>0.35</v>
      </c>
      <c r="AE52" s="78">
        <f t="shared" ca="1" si="14"/>
        <v>0.35</v>
      </c>
      <c r="AF52" s="79">
        <f t="shared" ca="1" si="14"/>
        <v>0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0.35</v>
      </c>
      <c r="C53" s="239">
        <f t="shared" ca="1" si="15"/>
        <v>0.35</v>
      </c>
      <c r="D53" s="239">
        <f t="shared" ca="1" si="15"/>
        <v>0</v>
      </c>
      <c r="E53" s="239">
        <f t="shared" ca="1" si="15"/>
        <v>0</v>
      </c>
      <c r="F53" s="239">
        <f t="shared" ca="1" si="15"/>
        <v>0.35</v>
      </c>
      <c r="G53" s="239">
        <f t="shared" ca="1" si="15"/>
        <v>0.35</v>
      </c>
      <c r="H53" s="239">
        <f t="shared" ca="1" si="15"/>
        <v>0.35</v>
      </c>
      <c r="I53" s="239">
        <f t="shared" ca="1" si="15"/>
        <v>0.35</v>
      </c>
      <c r="J53" s="239">
        <f t="shared" ca="1" si="15"/>
        <v>0.35</v>
      </c>
      <c r="K53" s="239">
        <f t="shared" ca="1" si="15"/>
        <v>0</v>
      </c>
      <c r="L53" s="239">
        <f t="shared" ca="1" si="15"/>
        <v>0</v>
      </c>
      <c r="M53" s="239">
        <f t="shared" ca="1" si="15"/>
        <v>0.35</v>
      </c>
      <c r="N53" s="239">
        <f t="shared" ca="1" si="15"/>
        <v>0.35</v>
      </c>
      <c r="O53" s="239">
        <f t="shared" ca="1" si="15"/>
        <v>0.35</v>
      </c>
      <c r="P53" s="239">
        <f t="shared" ca="1" si="15"/>
        <v>0.35</v>
      </c>
      <c r="Q53" s="239">
        <f t="shared" ca="1" si="15"/>
        <v>0.35</v>
      </c>
      <c r="R53" s="239">
        <f t="shared" ca="1" si="15"/>
        <v>0</v>
      </c>
      <c r="S53" s="239">
        <f t="shared" ca="1" si="15"/>
        <v>0</v>
      </c>
      <c r="T53" s="239">
        <f t="shared" ca="1" si="15"/>
        <v>0.35</v>
      </c>
      <c r="U53" s="239">
        <f t="shared" ca="1" si="15"/>
        <v>0.35</v>
      </c>
      <c r="V53" s="239">
        <f t="shared" ca="1" si="15"/>
        <v>0.35</v>
      </c>
      <c r="W53" s="239">
        <f t="shared" ca="1" si="15"/>
        <v>0.35</v>
      </c>
      <c r="X53" s="239">
        <f t="shared" ca="1" si="15"/>
        <v>0.35</v>
      </c>
      <c r="Y53" s="239">
        <f t="shared" ca="1" si="15"/>
        <v>0</v>
      </c>
      <c r="Z53" s="239">
        <f t="shared" ca="1" si="15"/>
        <v>0</v>
      </c>
      <c r="AA53" s="239">
        <f t="shared" ca="1" si="15"/>
        <v>0</v>
      </c>
      <c r="AB53" s="239">
        <f t="shared" ca="1" si="15"/>
        <v>0.35</v>
      </c>
      <c r="AC53" s="239">
        <f t="shared" ca="1" si="15"/>
        <v>0.35</v>
      </c>
      <c r="AD53" s="239">
        <f t="shared" ca="1" si="15"/>
        <v>0.35</v>
      </c>
      <c r="AE53" s="239">
        <f t="shared" ca="1" si="15"/>
        <v>0.35</v>
      </c>
      <c r="AF53" s="239">
        <f t="shared" ca="1" si="15"/>
        <v>0</v>
      </c>
      <c r="AG53" s="204" t="str">
        <f t="shared" si="2"/>
        <v>Arbeitszeit SOLL gem. BG</v>
      </c>
      <c r="AH53" s="217"/>
      <c r="AI53" s="237">
        <f ca="1">SUM(B53:AF53)</f>
        <v>7.349999999999997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0.35</v>
      </c>
      <c r="C54" s="239">
        <f t="shared" ca="1" si="16"/>
        <v>0.35</v>
      </c>
      <c r="D54" s="240">
        <f t="shared" ca="1" si="16"/>
        <v>0</v>
      </c>
      <c r="E54" s="239">
        <f t="shared" ca="1" si="16"/>
        <v>0</v>
      </c>
      <c r="F54" s="240">
        <f t="shared" ca="1" si="16"/>
        <v>0.35</v>
      </c>
      <c r="G54" s="240">
        <f t="shared" ca="1" si="16"/>
        <v>0.35</v>
      </c>
      <c r="H54" s="240">
        <f t="shared" ca="1" si="16"/>
        <v>0.35</v>
      </c>
      <c r="I54" s="240">
        <f t="shared" ca="1" si="16"/>
        <v>0.35</v>
      </c>
      <c r="J54" s="239">
        <f t="shared" ca="1" si="16"/>
        <v>0.35</v>
      </c>
      <c r="K54" s="240">
        <f t="shared" ca="1" si="16"/>
        <v>0</v>
      </c>
      <c r="L54" s="239">
        <f t="shared" ca="1" si="16"/>
        <v>0</v>
      </c>
      <c r="M54" s="240">
        <f t="shared" ca="1" si="16"/>
        <v>0.35</v>
      </c>
      <c r="N54" s="240">
        <f t="shared" ca="1" si="16"/>
        <v>0.35</v>
      </c>
      <c r="O54" s="240">
        <f t="shared" ca="1" si="16"/>
        <v>0.35</v>
      </c>
      <c r="P54" s="240">
        <f t="shared" ca="1" si="16"/>
        <v>0.35</v>
      </c>
      <c r="Q54" s="239">
        <f t="shared" ca="1" si="16"/>
        <v>0.35</v>
      </c>
      <c r="R54" s="240">
        <f t="shared" ca="1" si="16"/>
        <v>0</v>
      </c>
      <c r="S54" s="239">
        <f t="shared" ca="1" si="16"/>
        <v>0</v>
      </c>
      <c r="T54" s="239">
        <f t="shared" ca="1" si="16"/>
        <v>0.35</v>
      </c>
      <c r="U54" s="240">
        <f t="shared" ca="1" si="16"/>
        <v>0.35</v>
      </c>
      <c r="V54" s="240">
        <f t="shared" ca="1" si="16"/>
        <v>0.35</v>
      </c>
      <c r="W54" s="240">
        <f t="shared" ca="1" si="16"/>
        <v>0.35</v>
      </c>
      <c r="X54" s="239">
        <f t="shared" ca="1" si="16"/>
        <v>0.35</v>
      </c>
      <c r="Y54" s="240">
        <f t="shared" ca="1" si="16"/>
        <v>0</v>
      </c>
      <c r="Z54" s="241">
        <f t="shared" ca="1" si="16"/>
        <v>0</v>
      </c>
      <c r="AA54" s="240">
        <f t="shared" ca="1" si="16"/>
        <v>0</v>
      </c>
      <c r="AB54" s="240">
        <f t="shared" ca="1" si="16"/>
        <v>0.35</v>
      </c>
      <c r="AC54" s="240">
        <f t="shared" ca="1" si="16"/>
        <v>0.35</v>
      </c>
      <c r="AD54" s="240">
        <f t="shared" ca="1" si="16"/>
        <v>0.35</v>
      </c>
      <c r="AE54" s="239">
        <f t="shared" ca="1" si="16"/>
        <v>0.35</v>
      </c>
      <c r="AF54" s="240">
        <f t="shared" ca="1" si="16"/>
        <v>0</v>
      </c>
      <c r="AG54" s="204" t="str">
        <f t="shared" si="2"/>
        <v>Arbeitszeit SOLL 100%</v>
      </c>
      <c r="AH54" s="217"/>
      <c r="AI54" s="237">
        <f ca="1">SUM(B54:AF54)</f>
        <v>7.349999999999997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F55" ca="1" si="17">ROUND((C51-C53)*1440,0)/1440</f>
        <v>-0.35</v>
      </c>
      <c r="D55" s="233">
        <f t="shared" ca="1" si="17"/>
        <v>0</v>
      </c>
      <c r="E55" s="235">
        <f t="shared" ca="1" si="17"/>
        <v>0</v>
      </c>
      <c r="F55" s="233">
        <f t="shared" ca="1" si="17"/>
        <v>-0.35</v>
      </c>
      <c r="G55" s="233">
        <f t="shared" ca="1" si="17"/>
        <v>-0.35</v>
      </c>
      <c r="H55" s="233">
        <f t="shared" ca="1" si="17"/>
        <v>-0.35</v>
      </c>
      <c r="I55" s="233">
        <f t="shared" ca="1" si="17"/>
        <v>-0.35</v>
      </c>
      <c r="J55" s="235">
        <f t="shared" ca="1" si="17"/>
        <v>-0.35</v>
      </c>
      <c r="K55" s="233">
        <f t="shared" ca="1" si="17"/>
        <v>0</v>
      </c>
      <c r="L55" s="235">
        <f t="shared" ca="1" si="17"/>
        <v>0</v>
      </c>
      <c r="M55" s="233">
        <f t="shared" ca="1" si="17"/>
        <v>-0.35</v>
      </c>
      <c r="N55" s="233">
        <f t="shared" ca="1" si="17"/>
        <v>-0.35</v>
      </c>
      <c r="O55" s="233">
        <f t="shared" ca="1" si="17"/>
        <v>-0.35</v>
      </c>
      <c r="P55" s="233">
        <f t="shared" ca="1" si="17"/>
        <v>-0.35</v>
      </c>
      <c r="Q55" s="235">
        <f t="shared" ca="1" si="17"/>
        <v>-0.35</v>
      </c>
      <c r="R55" s="233">
        <f t="shared" ca="1" si="17"/>
        <v>0</v>
      </c>
      <c r="S55" s="235">
        <f t="shared" ca="1" si="17"/>
        <v>0</v>
      </c>
      <c r="T55" s="235">
        <f t="shared" ca="1" si="17"/>
        <v>-0.35</v>
      </c>
      <c r="U55" s="233">
        <f t="shared" ca="1" si="17"/>
        <v>-0.35</v>
      </c>
      <c r="V55" s="233">
        <f t="shared" ca="1" si="17"/>
        <v>-0.35</v>
      </c>
      <c r="W55" s="233">
        <f t="shared" ca="1" si="17"/>
        <v>-0.35</v>
      </c>
      <c r="X55" s="235">
        <f t="shared" ca="1" si="17"/>
        <v>-0.35</v>
      </c>
      <c r="Y55" s="233">
        <f t="shared" ca="1" si="17"/>
        <v>0</v>
      </c>
      <c r="Z55" s="236">
        <f t="shared" ca="1" si="17"/>
        <v>0</v>
      </c>
      <c r="AA55" s="233">
        <f t="shared" ca="1" si="17"/>
        <v>0</v>
      </c>
      <c r="AB55" s="233">
        <f t="shared" ca="1" si="17"/>
        <v>-0.35</v>
      </c>
      <c r="AC55" s="233">
        <f t="shared" ca="1" si="17"/>
        <v>-0.35</v>
      </c>
      <c r="AD55" s="233">
        <f t="shared" ca="1" si="17"/>
        <v>-0.35</v>
      </c>
      <c r="AE55" s="235">
        <f t="shared" ca="1" si="17"/>
        <v>-0.35</v>
      </c>
      <c r="AF55" s="233">
        <f t="shared" ca="1" si="17"/>
        <v>0</v>
      </c>
      <c r="AG55" s="204" t="str">
        <f t="shared" si="2"/>
        <v>+/- SOLL/IST täglich</v>
      </c>
      <c r="AH55" s="217"/>
      <c r="AI55" s="237">
        <f ca="1">SUM(B55:AF55)</f>
        <v>-7.349999999999997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-7.6999999999999966</v>
      </c>
      <c r="AM55" s="208"/>
      <c r="AN55" s="244">
        <f ca="1">IF(AH57="+",(AI55+AI57),(AI55-AI57))</f>
        <v>-7.349999999999997</v>
      </c>
      <c r="AO55" s="244">
        <f ca="1">SUM(OFFSET(J.AZSaldo.Total,-12,0,MONTH(Monat.Tag1),1))</f>
        <v>-88.349999999999966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0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0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0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0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0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0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0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0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0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0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4.8125</v>
      </c>
      <c r="AM67" s="208"/>
      <c r="AN67" s="244">
        <f ca="1">AK67+AL67-Monat.KomAZ.Total</f>
        <v>5.25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>
        <f t="shared" ref="B82:AF82" ca="1" si="30">IF(B$12=0,"",IF(OR(WEEKDAY(B$10,2)&gt;5,B$11=0),
IF(T.50_NoVetsuisse,B45,
IF(OR(T.50_Vetsuisse,T.ServiceCenterIrchel,T.MedizinischeMikrobiologie),IF(B23-B73=0,"",B23-B73),
B60)),))</f>
        <v>0</v>
      </c>
      <c r="C82" s="278">
        <f t="shared" ca="1" si="30"/>
        <v>0</v>
      </c>
      <c r="D82" s="279" t="str">
        <f t="shared" ca="1" si="30"/>
        <v/>
      </c>
      <c r="E82" s="278" t="str">
        <f t="shared" ca="1" si="30"/>
        <v/>
      </c>
      <c r="F82" s="279">
        <f t="shared" ca="1" si="30"/>
        <v>0</v>
      </c>
      <c r="G82" s="279">
        <f t="shared" ca="1" si="30"/>
        <v>0</v>
      </c>
      <c r="H82" s="279">
        <f t="shared" ca="1" si="30"/>
        <v>0</v>
      </c>
      <c r="I82" s="279">
        <f t="shared" ca="1" si="30"/>
        <v>0</v>
      </c>
      <c r="J82" s="278">
        <f t="shared" ca="1" si="30"/>
        <v>0</v>
      </c>
      <c r="K82" s="279" t="str">
        <f t="shared" ca="1" si="30"/>
        <v/>
      </c>
      <c r="L82" s="278" t="str">
        <f t="shared" ca="1" si="30"/>
        <v/>
      </c>
      <c r="M82" s="279">
        <f t="shared" ca="1" si="30"/>
        <v>0</v>
      </c>
      <c r="N82" s="279">
        <f t="shared" ca="1" si="30"/>
        <v>0</v>
      </c>
      <c r="O82" s="279">
        <f t="shared" ca="1" si="30"/>
        <v>0</v>
      </c>
      <c r="P82" s="279">
        <f t="shared" ca="1" si="30"/>
        <v>0</v>
      </c>
      <c r="Q82" s="278">
        <f t="shared" ca="1" si="30"/>
        <v>0</v>
      </c>
      <c r="R82" s="279" t="str">
        <f t="shared" ca="1" si="30"/>
        <v/>
      </c>
      <c r="S82" s="278" t="str">
        <f t="shared" ca="1" si="30"/>
        <v/>
      </c>
      <c r="T82" s="278">
        <f t="shared" ca="1" si="30"/>
        <v>0</v>
      </c>
      <c r="U82" s="279">
        <f t="shared" ca="1" si="30"/>
        <v>0</v>
      </c>
      <c r="V82" s="279">
        <f t="shared" ca="1" si="30"/>
        <v>0</v>
      </c>
      <c r="W82" s="279">
        <f t="shared" ca="1" si="30"/>
        <v>0</v>
      </c>
      <c r="X82" s="278">
        <f t="shared" ca="1" si="30"/>
        <v>0</v>
      </c>
      <c r="Y82" s="279" t="str">
        <f t="shared" ca="1" si="30"/>
        <v/>
      </c>
      <c r="Z82" s="280" t="str">
        <f t="shared" ca="1" si="30"/>
        <v/>
      </c>
      <c r="AA82" s="279" t="str">
        <f t="shared" ca="1" si="30"/>
        <v/>
      </c>
      <c r="AB82" s="279">
        <f t="shared" ca="1" si="30"/>
        <v>0</v>
      </c>
      <c r="AC82" s="279">
        <f t="shared" ca="1" si="30"/>
        <v>0</v>
      </c>
      <c r="AD82" s="279">
        <f t="shared" ca="1" si="30"/>
        <v>0</v>
      </c>
      <c r="AE82" s="278">
        <f t="shared" ca="1" si="30"/>
        <v>0</v>
      </c>
      <c r="AF82" s="279" t="str">
        <f t="shared" ca="1" si="30"/>
        <v/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39" priority="16">
      <formula>ABS(B$114)&gt;=ROUND(1/24/60,9)</formula>
    </cfRule>
  </conditionalFormatting>
  <conditionalFormatting sqref="B13:AF22 B34:AF44 B25:AF30 B60:AF61 B67:AF67 B71:AF72 B84:AF84 B86:AF95 B97:AF111">
    <cfRule type="expression" dxfId="38" priority="14">
      <formula>WEEKDAY(B$10,2)&gt;5</formula>
    </cfRule>
    <cfRule type="expression" dxfId="37" priority="15">
      <formula>AND(NOT(ISERROR(MATCH(B$10,T.Feiertage.Bereich,0))),OFFSET(T.Feiertage.Bereich,MATCH(B$10,T.Feiertage.Bereich,0)-1,1,1,1)&gt;0)</formula>
    </cfRule>
    <cfRule type="expression" dxfId="36" priority="17">
      <formula>B$11=0</formula>
    </cfRule>
  </conditionalFormatting>
  <conditionalFormatting sqref="AN60:AO60">
    <cfRule type="expression" dxfId="35" priority="22">
      <formula>AND(T.50_Vetsuisse,AN60&gt;=T.GrenzeAngÜZ50_Vetsuisse)</formula>
    </cfRule>
    <cfRule type="expression" dxfId="34" priority="23">
      <formula>AND(T.50_Vetsuisse,AN60&gt;T.GrenzeAngÜZ50_Vetsuisse*T.AngÜZ50_Vetsuisse_orange)</formula>
    </cfRule>
  </conditionalFormatting>
  <conditionalFormatting sqref="B56:AF56">
    <cfRule type="expression" dxfId="33" priority="8">
      <formula>AND(B$10&gt;TODAY(),EB.UJAustritt="")</formula>
    </cfRule>
    <cfRule type="expression" dxfId="32" priority="9">
      <formula>B$56&gt;99.99/24</formula>
    </cfRule>
    <cfRule type="expression" dxfId="31" priority="11">
      <formula>B$56&lt;99.99/24*-1</formula>
    </cfRule>
  </conditionalFormatting>
  <conditionalFormatting sqref="AO55:AP55">
    <cfRule type="cellIs" dxfId="30" priority="24" operator="greaterThan">
      <formula>1/24/60</formula>
    </cfRule>
    <cfRule type="expression" dxfId="29" priority="25">
      <formula>AND(AO55&lt;=1/24/60*-1,TODAY()&gt;=DATE(EB.Jahr,MONTH(12),DAY(31)))</formula>
    </cfRule>
  </conditionalFormatting>
  <conditionalFormatting sqref="B56:AF56 AI58">
    <cfRule type="expression" dxfId="28" priority="10">
      <formula>B$56&gt;1/24/60</formula>
    </cfRule>
    <cfRule type="expression" dxfId="27" priority="12">
      <formula>AND(B$56&lt;=1/24/60*-1,B$56)</formula>
    </cfRule>
  </conditionalFormatting>
  <conditionalFormatting sqref="B14:AF22 B36:AF44 B26:AF30">
    <cfRule type="expression" dxfId="26" priority="6">
      <formula>AND(B14&lt;B13,B14&lt;&gt;"")</formula>
    </cfRule>
  </conditionalFormatting>
  <conditionalFormatting sqref="B72:AF73">
    <cfRule type="expression" dxfId="25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24" priority="18">
      <formula>$P$4&lt;&gt;""</formula>
    </cfRule>
  </conditionalFormatting>
  <conditionalFormatting sqref="V4">
    <cfRule type="expression" dxfId="23" priority="19">
      <formula>$V$4&lt;&gt;""</formula>
    </cfRule>
  </conditionalFormatting>
  <conditionalFormatting sqref="AP60">
    <cfRule type="expression" dxfId="22" priority="26">
      <formula>AND(T.50_Vetsuisse,AP60&gt;=T.GrenzeAngÜZ50_Vetsuisse)</formula>
    </cfRule>
    <cfRule type="expression" dxfId="21" priority="27">
      <formula>AND(T.50_Vetsuisse,AP60&gt;T.GrenzeAngÜZ50_Vetsuisse*T.AngÜZ50_Vetsuisse_orange)</formula>
    </cfRule>
  </conditionalFormatting>
  <conditionalFormatting sqref="AJ72:AJ73">
    <cfRule type="expression" dxfId="20" priority="20">
      <formula>AND(T.50_Vetsuisse,$AJ$72&lt;&gt;$AJ$73)</formula>
    </cfRule>
    <cfRule type="expression" dxfId="19" priority="21">
      <formula>$AJ$72&gt;$AJ$73</formula>
    </cfRule>
  </conditionalFormatting>
  <conditionalFormatting sqref="B55:AF55">
    <cfRule type="expression" dxfId="18" priority="7">
      <formula>AND(B$10&lt;=TODAY(),B$55&lt;1/24/60*-1)</formula>
    </cfRule>
  </conditionalFormatting>
  <conditionalFormatting sqref="AG67 AG84">
    <cfRule type="expression" dxfId="17" priority="5">
      <formula>AG67&lt;&gt;A67</formula>
    </cfRule>
  </conditionalFormatting>
  <conditionalFormatting sqref="B67:AF67">
    <cfRule type="expression" dxfId="16" priority="4">
      <formula>AND(B66=0,B67&gt;0)</formula>
    </cfRule>
  </conditionalFormatting>
  <conditionalFormatting sqref="B34:AF34">
    <cfRule type="expression" dxfId="15" priority="3">
      <formula>T.MedizinischeMikrobiologie</formula>
    </cfRule>
  </conditionalFormatting>
  <conditionalFormatting sqref="AK51">
    <cfRule type="expression" dxfId="14" priority="2">
      <formula>ISNUMBER(AK51)</formula>
    </cfRule>
  </conditionalFormatting>
  <conditionalFormatting sqref="AN51">
    <cfRule type="expression" dxfId="13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8A7A1B4E-9E65-43B2-9106-FBDABF597679}">
      <formula1>T.JaNein.Bereich</formula1>
    </dataValidation>
    <dataValidation type="list" allowBlank="1" showInputMessage="1" showErrorMessage="1" errorTitle="Pikett Bereitschaft" error="Bitte wählen Sie einen Wert aus der Liste." sqref="B34:AF34" xr:uid="{05E58222-3C2C-4160-B655-CD0D64FE0C62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autoPageBreaks="0" fitToPage="1"/>
  </sheetPr>
  <dimension ref="A1:AS36"/>
  <sheetViews>
    <sheetView showGridLines="0" zoomScale="85" zoomScaleNormal="85" zoomScalePageLayoutView="85" workbookViewId="0"/>
  </sheetViews>
  <sheetFormatPr baseColWidth="10" defaultColWidth="10.75" defaultRowHeight="12.75" outlineLevelCol="1" x14ac:dyDescent="0.2"/>
  <cols>
    <col min="1" max="1" width="24.875" style="50" customWidth="1"/>
    <col min="2" max="2" width="3.625" style="50" customWidth="1"/>
    <col min="3" max="3" width="7.875" style="50" customWidth="1"/>
    <col min="4" max="4" width="8.625" style="50" customWidth="1"/>
    <col min="5" max="7" width="7.875" style="50" customWidth="1"/>
    <col min="8" max="8" width="3.625" style="50" customWidth="1" outlineLevel="1"/>
    <col min="9" max="13" width="6.125" style="50" customWidth="1" outlineLevel="1"/>
    <col min="14" max="14" width="3.625" style="50" customWidth="1"/>
    <col min="15" max="15" width="7.875" style="50" customWidth="1" outlineLevel="1"/>
    <col min="16" max="16" width="6.125" style="50" customWidth="1" outlineLevel="1"/>
    <col min="17" max="17" width="3.625" style="50" customWidth="1"/>
    <col min="18" max="18" width="10" style="50" customWidth="1" outlineLevel="1"/>
    <col min="19" max="19" width="6.125" style="50" hidden="1" customWidth="1" outlineLevel="1"/>
    <col min="20" max="20" width="6.125" style="50" customWidth="1" outlineLevel="1"/>
    <col min="21" max="25" width="6.125" style="50" hidden="1" customWidth="1" outlineLevel="1"/>
    <col min="26" max="27" width="6.125" style="50" customWidth="1" outlineLevel="1"/>
    <col min="28" max="28" width="3.625" style="50" customWidth="1" outlineLevel="1"/>
    <col min="29" max="37" width="6.125" style="50" customWidth="1"/>
    <col min="38" max="38" width="6.125" style="50" hidden="1" customWidth="1" outlineLevel="1"/>
    <col min="39" max="39" width="6.125" style="53" customWidth="1" collapsed="1"/>
    <col min="40" max="40" width="3.625" style="50" customWidth="1"/>
    <col min="41" max="41" width="7.875" style="50" hidden="1" customWidth="1"/>
    <col min="42" max="43" width="10.75" style="50" customWidth="1"/>
    <col min="44" max="44" width="10.75" style="37" customWidth="1"/>
    <col min="45" max="16384" width="10.75" style="50"/>
  </cols>
  <sheetData>
    <row r="1" spans="1:44" s="38" customFormat="1" ht="23.25" customHeight="1" x14ac:dyDescent="0.2">
      <c r="A1" s="304" t="s">
        <v>158</v>
      </c>
      <c r="B1" s="305"/>
      <c r="C1" s="506">
        <f>EB.Jahr</f>
        <v>2022</v>
      </c>
      <c r="D1" s="506"/>
      <c r="E1" s="506"/>
      <c r="F1" s="506"/>
      <c r="G1" s="506"/>
      <c r="H1" s="506"/>
      <c r="I1" s="506" t="str">
        <f>Eingabeblatt!B1</f>
        <v>Arbeitszeittabelle</v>
      </c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306"/>
      <c r="AL1" s="306"/>
      <c r="AM1" s="306" t="str">
        <f>EB.Version</f>
        <v>Version 12.21</v>
      </c>
      <c r="AN1" s="307" t="str">
        <f>EB.Sprache</f>
        <v>DE</v>
      </c>
      <c r="AO1" s="308"/>
      <c r="AR1" s="54"/>
    </row>
    <row r="2" spans="1:44" s="38" customFormat="1" ht="15" customHeight="1" x14ac:dyDescent="0.2">
      <c r="A2" s="309" t="str">
        <f>Eingabeblatt!A3</f>
        <v>Name</v>
      </c>
      <c r="B2" s="118"/>
      <c r="C2" s="498" t="str">
        <f>IF(EB.Name="","?",EB.Name)</f>
        <v>?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500"/>
      <c r="Q2" s="310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09"/>
      <c r="AC2" s="462" t="str">
        <f>Eingabeblatt!C5</f>
        <v>Lohnklasse &gt; 16</v>
      </c>
      <c r="AD2" s="472"/>
      <c r="AE2" s="472"/>
      <c r="AF2" s="472"/>
      <c r="AG2" s="463"/>
      <c r="AH2" s="482" t="str">
        <f>EB.LKgr16</f>
        <v>Ja / Nein</v>
      </c>
      <c r="AI2" s="483"/>
      <c r="AJ2" s="507" t="str">
        <f ca="1">IF(Eingabeblatt!E5=INDEX(T.JaNein.Bereich,1,1),IF(Eingabeblatt!F5&gt;Januar!Monat.Tag1,Eingabeblatt!F5,""),"")</f>
        <v/>
      </c>
      <c r="AK2" s="507"/>
      <c r="AL2" s="507"/>
      <c r="AM2" s="508"/>
      <c r="AN2" s="118"/>
      <c r="AO2" s="118"/>
      <c r="AR2" s="54"/>
    </row>
    <row r="3" spans="1:44" s="38" customFormat="1" ht="15" customHeight="1" x14ac:dyDescent="0.2">
      <c r="A3" s="309" t="str">
        <f>Eingabeblatt!H2</f>
        <v>Funktion</v>
      </c>
      <c r="B3" s="118"/>
      <c r="C3" s="482" t="str">
        <f>EB.Funktion</f>
        <v>Funktionsbeschreibung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4"/>
      <c r="Q3" s="311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462" t="str">
        <f>Eingabeblatt!J6</f>
        <v>Überzeitzuschlagsberechtigt</v>
      </c>
      <c r="AD3" s="472"/>
      <c r="AE3" s="472"/>
      <c r="AF3" s="472"/>
      <c r="AG3" s="463"/>
      <c r="AH3" s="509" t="str">
        <f>EB.ÜZZSBerechtigt</f>
        <v>Nein</v>
      </c>
      <c r="AI3" s="509"/>
      <c r="AJ3" s="509"/>
      <c r="AK3" s="509"/>
      <c r="AL3" s="509"/>
      <c r="AM3" s="509"/>
      <c r="AN3" s="118"/>
      <c r="AO3" s="118"/>
      <c r="AR3" s="54"/>
    </row>
    <row r="4" spans="1:44" s="38" customFormat="1" ht="15" customHeight="1" x14ac:dyDescent="0.2">
      <c r="A4" s="309" t="str">
        <f>Eingabeblatt!H3</f>
        <v>Institut/Abt.</v>
      </c>
      <c r="B4" s="118"/>
      <c r="C4" s="482" t="str">
        <f>EB.Institut</f>
        <v>Angabe Institut/Abteilung</v>
      </c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4"/>
      <c r="Q4" s="311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462" t="str">
        <f>IF(EB.WeitereAngaben="","",Eingabeblatt!C7)</f>
        <v/>
      </c>
      <c r="AD4" s="472"/>
      <c r="AE4" s="472"/>
      <c r="AF4" s="472"/>
      <c r="AG4" s="463"/>
      <c r="AH4" s="509" t="str">
        <f>IF(EB.WeitereAngaben="","",EB.WeitereAngaben)</f>
        <v/>
      </c>
      <c r="AI4" s="509"/>
      <c r="AJ4" s="509"/>
      <c r="AK4" s="509"/>
      <c r="AL4" s="509"/>
      <c r="AM4" s="509"/>
      <c r="AN4" s="118"/>
      <c r="AO4" s="118"/>
      <c r="AR4" s="54"/>
    </row>
    <row r="5" spans="1:44" s="38" customFormat="1" ht="15" customHeight="1" x14ac:dyDescent="0.2">
      <c r="A5" s="309" t="str">
        <f>Eingabeblatt!A5</f>
        <v>Personalnummer</v>
      </c>
      <c r="B5" s="118"/>
      <c r="C5" s="482" t="str">
        <f>IF(EB.Personalnummer="","?",EB.Personalnummer)</f>
        <v>?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4"/>
      <c r="Q5" s="311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88"/>
      <c r="AK5" s="118"/>
      <c r="AL5" s="118"/>
      <c r="AM5" s="312"/>
      <c r="AN5" s="118"/>
      <c r="AO5" s="118"/>
      <c r="AR5" s="54"/>
    </row>
    <row r="6" spans="1:44" s="38" customFormat="1" ht="15" customHeight="1" x14ac:dyDescent="0.2">
      <c r="A6" s="309" t="str">
        <f>Eingabeblatt!H4</f>
        <v>Fakultät</v>
      </c>
      <c r="B6" s="118"/>
      <c r="C6" s="482" t="str">
        <f>EB.Fakultaet</f>
        <v>Auswahl Fakultät</v>
      </c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4"/>
      <c r="Q6" s="311"/>
      <c r="R6" s="118"/>
      <c r="S6" s="118"/>
      <c r="T6" s="118"/>
      <c r="U6" s="118"/>
      <c r="V6" s="105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88"/>
      <c r="AK6" s="118"/>
      <c r="AL6" s="118"/>
      <c r="AM6" s="312"/>
      <c r="AN6" s="118"/>
      <c r="AO6" s="118"/>
      <c r="AR6" s="54"/>
    </row>
    <row r="7" spans="1:44" s="38" customFormat="1" ht="15" customHeight="1" x14ac:dyDescent="0.2">
      <c r="A7" s="309" t="str">
        <f>Eingabeblatt!H5</f>
        <v>Personalkategorie</v>
      </c>
      <c r="B7" s="118"/>
      <c r="C7" s="482" t="str">
        <f>EB.Personalkategorie</f>
        <v>Auswahl Personalkategorie</v>
      </c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4"/>
      <c r="Q7" s="311"/>
      <c r="R7" s="118"/>
      <c r="S7" s="118"/>
      <c r="T7" s="118"/>
      <c r="U7" s="118"/>
      <c r="V7" s="105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88"/>
      <c r="AK7" s="118"/>
      <c r="AL7" s="118"/>
      <c r="AM7" s="312"/>
      <c r="AN7" s="118"/>
      <c r="AO7" s="118"/>
      <c r="AR7" s="54"/>
    </row>
    <row r="8" spans="1:44" s="38" customFormat="1" ht="12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87"/>
      <c r="AN8" s="118"/>
      <c r="AO8" s="118"/>
      <c r="AR8" s="54"/>
    </row>
    <row r="9" spans="1:44" s="38" customFormat="1" ht="12" customHeight="1" x14ac:dyDescent="0.2">
      <c r="A9" s="118"/>
      <c r="B9" s="118"/>
      <c r="C9" s="503" t="s">
        <v>55</v>
      </c>
      <c r="D9" s="504"/>
      <c r="E9" s="504"/>
      <c r="F9" s="504"/>
      <c r="G9" s="505"/>
      <c r="H9" s="118"/>
      <c r="I9" s="503" t="s">
        <v>237</v>
      </c>
      <c r="J9" s="504"/>
      <c r="K9" s="504"/>
      <c r="L9" s="504"/>
      <c r="M9" s="505"/>
      <c r="N9" s="118"/>
      <c r="O9" s="503" t="s">
        <v>101</v>
      </c>
      <c r="P9" s="505"/>
      <c r="Q9" s="118"/>
      <c r="R9" s="503" t="s">
        <v>238</v>
      </c>
      <c r="S9" s="504"/>
      <c r="T9" s="504"/>
      <c r="U9" s="504"/>
      <c r="V9" s="504"/>
      <c r="W9" s="504"/>
      <c r="X9" s="504"/>
      <c r="Y9" s="504"/>
      <c r="Z9" s="504"/>
      <c r="AA9" s="505"/>
      <c r="AB9" s="118"/>
      <c r="AC9" s="503" t="s">
        <v>239</v>
      </c>
      <c r="AD9" s="504"/>
      <c r="AE9" s="504"/>
      <c r="AF9" s="504"/>
      <c r="AG9" s="504"/>
      <c r="AH9" s="504"/>
      <c r="AI9" s="504"/>
      <c r="AJ9" s="504"/>
      <c r="AK9" s="504"/>
      <c r="AL9" s="504"/>
      <c r="AM9" s="505"/>
      <c r="AN9" s="118"/>
      <c r="AO9" s="118"/>
      <c r="AR9" s="54"/>
    </row>
    <row r="10" spans="1:44" s="55" customFormat="1" ht="165" customHeight="1" x14ac:dyDescent="0.2">
      <c r="A10" s="313"/>
      <c r="B10" s="314"/>
      <c r="C10" s="315" t="s">
        <v>22</v>
      </c>
      <c r="D10" s="315" t="s">
        <v>240</v>
      </c>
      <c r="E10" s="315" t="s">
        <v>37</v>
      </c>
      <c r="F10" s="315" t="s">
        <v>59</v>
      </c>
      <c r="G10" s="315" t="s">
        <v>23</v>
      </c>
      <c r="H10" s="314"/>
      <c r="I10" s="315" t="str">
        <f ca="1">IF(EB.Anwendung&lt;&gt;"",Januar!Monat.AnUeZText,"")</f>
        <v>Angeordnete ÜZ</v>
      </c>
      <c r="J10" s="315" t="str">
        <f ca="1">IF(EB.Anwendung&lt;&gt;"",Januar!Monat.KomUeZText,"")</f>
        <v>Kompensation ÜZ</v>
      </c>
      <c r="K10" s="315" t="str">
        <f ca="1">IF(EB.Anwendung&lt;&gt;"",Januar!Monat.UeZSaldoText,"")</f>
        <v>Geleistete/Kompensierte ÜZ</v>
      </c>
      <c r="L10" s="315" t="str">
        <f ca="1">IF(EB.Anwendung&lt;&gt;"",Januar!Monat.ZSText,"")</f>
        <v>Zuschlag 25%</v>
      </c>
      <c r="M10" s="315" t="str">
        <f ca="1">IF(EB.Anwendung&lt;&gt;"",Januar!Monat.UeziZSText,"")</f>
        <v>Total ÜZ inkl. Zuschläge</v>
      </c>
      <c r="N10" s="314"/>
      <c r="O10" s="315" t="s">
        <v>236</v>
      </c>
      <c r="P10" s="315" t="str">
        <f ca="1">IF(EB.Anwendung&lt;&gt;"",Januar!Monat.KomAZText,"")</f>
        <v>Kompensation AZ</v>
      </c>
      <c r="Q10" s="314"/>
      <c r="R10" s="316" t="s">
        <v>182</v>
      </c>
      <c r="S10" s="315" t="str">
        <f ca="1">IF(EB.Anwendung&lt;&gt;"",Januar!Monat.ein_aus_PikettText,"")</f>
        <v>Total Pikett ein/aus</v>
      </c>
      <c r="T10" s="315" t="str">
        <f ca="1">IF(EB.Anwendung&lt;&gt;"",Januar!Monat.NDText,"")</f>
        <v>Nachtdienst</v>
      </c>
      <c r="U10" s="315" t="str">
        <f ca="1">IF(EB.Anwendung&lt;&gt;"",Januar!Monat.ZählerNDText,"")</f>
        <v>Zähler Nachtdienst</v>
      </c>
      <c r="V10" s="315" t="str">
        <f ca="1">IF(EB.Anwendung&lt;&gt;"",Januar!Monat.ZZSNDText,"")</f>
        <v>Zeitzuschlag Nachtdienst</v>
      </c>
      <c r="W10" s="315" t="str">
        <f ca="1">IF(EB.Anwendung&lt;&gt;"",Januar!Monat.KompZZSNDText,"")</f>
        <v>Kompensation ZZS Nachtdienst</v>
      </c>
      <c r="X10" s="315" t="str">
        <f ca="1">IF(EB.Anwendung&lt;&gt;"",Januar!Monat.ZZSNDText &amp; " Saldo","")</f>
        <v>Zeitzuschlag Nachtdienst Saldo</v>
      </c>
      <c r="Y10" s="315" t="str">
        <f ca="1">IF(EB.Anwendung&lt;&gt;"",Januar!Monat.AbendarbeitText,"")</f>
        <v>Abendarbeit</v>
      </c>
      <c r="Z10" s="315" t="str">
        <f ca="1">IF(EB.Anwendung&lt;&gt;"",Januar!Monat.BDText,"")</f>
        <v>Bereitschaftsdienst</v>
      </c>
      <c r="AA10" s="315" t="str">
        <f ca="1">IF(EB.Anwendung&lt;&gt;"",Januar!Monat.SDText,"")</f>
        <v>Samstag-/Sonntagdienst</v>
      </c>
      <c r="AB10" s="314"/>
      <c r="AC10" s="315" t="str">
        <f ca="1">IF(EB.Anwendung&lt;&gt;"",Januar!Monat.FerienText,"")</f>
        <v>Ferien</v>
      </c>
      <c r="AD10" s="315" t="str">
        <f ca="1">IF(EB.Anwendung&lt;&gt;"",Januar!Monat.ArztText,"")</f>
        <v>Arztbesuch</v>
      </c>
      <c r="AE10" s="315" t="str">
        <f ca="1">IF(EB.Anwendung&lt;&gt;"",Januar!Monat.KrankText,"")</f>
        <v>Krankheit</v>
      </c>
      <c r="AF10" s="315" t="str">
        <f ca="1">IF(EB.Anwendung&lt;&gt;"",Januar!Monat.BUText,"")</f>
        <v>Berufsunfall</v>
      </c>
      <c r="AG10" s="315" t="str">
        <f ca="1">IF(EB.Anwendung&lt;&gt;"",Januar!Monat.NBUText,"")</f>
        <v>Nichtberufsunfall</v>
      </c>
      <c r="AH10" s="315" t="str">
        <f ca="1">IF(EB.Anwendung&lt;&gt;"",Januar!Monat.MZSText,"")</f>
        <v>Militär/Zivilschutz</v>
      </c>
      <c r="AI10" s="315" t="str">
        <f ca="1">IF(EB.Anwendung&lt;&gt;"",Januar!Monat.WBText,"")</f>
        <v>Weiterbildung</v>
      </c>
      <c r="AJ10" s="315" t="str">
        <f ca="1">IF(EB.Anwendung&lt;&gt;"",Januar!Monat.BesUrlaubText,"")</f>
        <v>Besoldeter Urlaub</v>
      </c>
      <c r="AK10" s="315" t="str">
        <f ca="1">IF(EB.Anwendung&lt;&gt;"",Januar!Monat.UnbesUrlaubText,"")</f>
        <v>Unbesoldeter Urlaub</v>
      </c>
      <c r="AL10" s="315" t="str">
        <f ca="1">IF(EB.Anwendung&lt;&gt;"",Januar!Monat.NBText,"")</f>
        <v>Nebenbeschäftigung</v>
      </c>
      <c r="AM10" s="315" t="str">
        <f ca="1">IF(EB.Anwendung&lt;&gt;"",Januar!Monat.DAGText,"")</f>
        <v>DAG</v>
      </c>
      <c r="AN10" s="314"/>
      <c r="AO10" s="315" t="str">
        <f ca="1">IF(EB.Anwendung&lt;&gt;"",Januar!Monat.ein_ausText,"")</f>
        <v>Total ein/aus</v>
      </c>
    </row>
    <row r="11" spans="1:44" s="55" customFormat="1" ht="12" customHeight="1" x14ac:dyDescent="0.2">
      <c r="A11" s="317"/>
      <c r="B11" s="314"/>
      <c r="C11" s="318"/>
      <c r="D11" s="318"/>
      <c r="E11" s="318"/>
      <c r="F11" s="318"/>
      <c r="G11" s="319"/>
      <c r="H11" s="314"/>
      <c r="I11" s="318"/>
      <c r="J11" s="318"/>
      <c r="K11" s="318"/>
      <c r="L11" s="318"/>
      <c r="M11" s="318"/>
      <c r="N11" s="314"/>
      <c r="O11" s="318"/>
      <c r="P11" s="319"/>
      <c r="Q11" s="314"/>
      <c r="R11" s="314"/>
      <c r="S11" s="318"/>
      <c r="T11" s="318"/>
      <c r="U11" s="318"/>
      <c r="V11" s="318"/>
      <c r="W11" s="318"/>
      <c r="X11" s="318"/>
      <c r="Y11" s="318"/>
      <c r="Z11" s="318"/>
      <c r="AA11" s="318"/>
      <c r="AB11" s="314"/>
      <c r="AC11" s="319"/>
      <c r="AD11" s="318"/>
      <c r="AE11" s="318"/>
      <c r="AF11" s="318"/>
      <c r="AG11" s="318"/>
      <c r="AH11" s="318"/>
      <c r="AI11" s="318"/>
      <c r="AJ11" s="318"/>
      <c r="AK11" s="318"/>
      <c r="AL11" s="318"/>
      <c r="AM11" s="319"/>
      <c r="AN11" s="314"/>
      <c r="AO11" s="318"/>
    </row>
    <row r="12" spans="1:44" s="38" customFormat="1" ht="15" customHeight="1" x14ac:dyDescent="0.2">
      <c r="A12" s="320" t="s">
        <v>60</v>
      </c>
      <c r="B12" s="321"/>
      <c r="C12" s="190"/>
      <c r="D12" s="135"/>
      <c r="E12" s="190"/>
      <c r="F12" s="190"/>
      <c r="G12" s="57">
        <f ca="1">EB.AZS</f>
        <v>88.349999999999966</v>
      </c>
      <c r="H12" s="135"/>
      <c r="I12" s="322"/>
      <c r="J12" s="322"/>
      <c r="K12" s="322"/>
      <c r="L12" s="322"/>
      <c r="M12" s="323"/>
      <c r="N12" s="135"/>
      <c r="O12" s="324"/>
      <c r="P12" s="16">
        <f ca="1">Eingabeblatt!L25</f>
        <v>5.25</v>
      </c>
      <c r="Q12" s="135"/>
      <c r="R12" s="325"/>
      <c r="S12" s="322"/>
      <c r="T12" s="322"/>
      <c r="U12" s="326"/>
      <c r="V12" s="322"/>
      <c r="W12" s="322"/>
      <c r="X12" s="323"/>
      <c r="Y12" s="322"/>
      <c r="Z12" s="322"/>
      <c r="AA12" s="322"/>
      <c r="AB12" s="135"/>
      <c r="AC12" s="56">
        <f ca="1">Eingabeblatt!B33</f>
        <v>0</v>
      </c>
      <c r="AD12" s="327"/>
      <c r="AE12" s="322"/>
      <c r="AF12" s="322"/>
      <c r="AG12" s="322"/>
      <c r="AH12" s="322"/>
      <c r="AI12" s="322"/>
      <c r="AJ12" s="322"/>
      <c r="AK12" s="322"/>
      <c r="AL12" s="328"/>
      <c r="AM12" s="56">
        <f>Eingabeblatt!B32</f>
        <v>0</v>
      </c>
      <c r="AN12" s="135"/>
      <c r="AO12" s="190"/>
    </row>
    <row r="13" spans="1:44" s="38" customFormat="1" ht="15" customHeight="1" x14ac:dyDescent="0.2">
      <c r="A13" s="329" t="s">
        <v>61</v>
      </c>
      <c r="B13" s="321"/>
      <c r="C13" s="190"/>
      <c r="D13" s="135"/>
      <c r="E13" s="190"/>
      <c r="F13" s="135"/>
      <c r="G13" s="249"/>
      <c r="H13" s="135"/>
      <c r="I13" s="322"/>
      <c r="J13" s="322"/>
      <c r="K13" s="322"/>
      <c r="L13" s="328"/>
      <c r="M13" s="16">
        <f>EB.UeZ</f>
        <v>0</v>
      </c>
      <c r="N13" s="135"/>
      <c r="O13" s="20">
        <f>EB.MMS</f>
        <v>0</v>
      </c>
      <c r="P13" s="330"/>
      <c r="Q13" s="135"/>
      <c r="R13" s="325"/>
      <c r="S13" s="322"/>
      <c r="T13" s="322"/>
      <c r="U13" s="326"/>
      <c r="V13" s="322"/>
      <c r="W13" s="328"/>
      <c r="X13" s="16">
        <f>EB.ZZNd</f>
        <v>0</v>
      </c>
      <c r="Y13" s="327"/>
      <c r="Z13" s="322"/>
      <c r="AA13" s="322"/>
      <c r="AB13" s="135"/>
      <c r="AC13" s="16">
        <f>EB.FerienBer</f>
        <v>0</v>
      </c>
      <c r="AD13" s="327"/>
      <c r="AE13" s="322"/>
      <c r="AF13" s="322"/>
      <c r="AG13" s="322"/>
      <c r="AH13" s="322"/>
      <c r="AI13" s="322"/>
      <c r="AJ13" s="322"/>
      <c r="AK13" s="322"/>
      <c r="AL13" s="328"/>
      <c r="AM13" s="16">
        <f>EB.DAGber</f>
        <v>0</v>
      </c>
      <c r="AN13" s="135"/>
      <c r="AO13" s="190"/>
    </row>
    <row r="14" spans="1:44" s="38" customFormat="1" ht="12" customHeight="1" x14ac:dyDescent="0.2">
      <c r="A14" s="331"/>
      <c r="B14" s="135"/>
      <c r="C14" s="324"/>
      <c r="D14" s="220"/>
      <c r="E14" s="324"/>
      <c r="F14" s="324"/>
      <c r="G14" s="324"/>
      <c r="H14" s="135"/>
      <c r="I14" s="324"/>
      <c r="J14" s="324"/>
      <c r="K14" s="324"/>
      <c r="L14" s="324"/>
      <c r="M14" s="332"/>
      <c r="N14" s="135"/>
      <c r="O14" s="332"/>
      <c r="P14" s="324"/>
      <c r="Q14" s="135"/>
      <c r="R14" s="333"/>
      <c r="S14" s="324"/>
      <c r="T14" s="324"/>
      <c r="U14" s="334"/>
      <c r="V14" s="324"/>
      <c r="W14" s="324"/>
      <c r="X14" s="332"/>
      <c r="Y14" s="324"/>
      <c r="Z14" s="324"/>
      <c r="AA14" s="324"/>
      <c r="AB14" s="135"/>
      <c r="AC14" s="332"/>
      <c r="AD14" s="324"/>
      <c r="AE14" s="324"/>
      <c r="AF14" s="324"/>
      <c r="AG14" s="324"/>
      <c r="AH14" s="324"/>
      <c r="AI14" s="324"/>
      <c r="AJ14" s="324"/>
      <c r="AK14" s="324"/>
      <c r="AL14" s="324"/>
      <c r="AM14" s="332"/>
      <c r="AN14" s="135"/>
      <c r="AO14" s="324"/>
    </row>
    <row r="15" spans="1:44" s="38" customFormat="1" ht="15" customHeight="1" x14ac:dyDescent="0.2">
      <c r="A15" s="335" t="str">
        <f>INDEX(EB.Monate.Bereich,1,0)</f>
        <v>Januar</v>
      </c>
      <c r="B15" s="208"/>
      <c r="C15" s="20">
        <f t="shared" ref="C15:C26" ca="1" si="0">F15+E15</f>
        <v>0</v>
      </c>
      <c r="D15" s="85">
        <f>IF(Eingabeblatt!H13="","-     ",Eingabeblatt!H13)</f>
        <v>100</v>
      </c>
      <c r="E15" s="20">
        <f ca="1">Eingabeblatt!I13</f>
        <v>7.349999999999997</v>
      </c>
      <c r="F15" s="20">
        <f ca="1">IF(EB.Anwendung&lt;&gt;"",Januar!Monat.Soll_Ist_UeVM,"")</f>
        <v>-7.349999999999997</v>
      </c>
      <c r="G15" s="20">
        <f t="shared" ref="G15:G26" ca="1" si="1">IF(AND(EB.UJEintritt&lt;&gt;"",MONTH(EB.UJEintritt)&gt;ROW(C15)-ROW($C$15)+1),0,($G$12-SUM(OFFSET($C$15,0,0,ROW(C15)-ROW($C$15)+1))))</f>
        <v>88.349999999999966</v>
      </c>
      <c r="H15" s="321"/>
      <c r="I15" s="16">
        <f ca="1">IF(EB.Anwendung&lt;&gt;"",Januar!Monat.AnUeZ.Total,"")</f>
        <v>0</v>
      </c>
      <c r="J15" s="16">
        <f ca="1">IF(EB.Anwendung&lt;&gt;"",Januar!Monat.KomUeZ.Total,"")</f>
        <v>0</v>
      </c>
      <c r="K15" s="16" t="str">
        <f ca="1">IF(IF(EB.Anwendung&lt;&gt;"",Januar!Monat.UeZ.Saldo,"")&lt;=0,"-     ",IF(EB.Anwendung&lt;&gt;"",Januar!Monat.UeZ.Saldo,""))</f>
        <v xml:space="preserve">-     </v>
      </c>
      <c r="L15" s="16" t="str">
        <f ca="1">IF(IF(EB.Anwendung&lt;&gt;"",Januar!Monat.ZS.Total,"")&lt;=0,"-     ",IF(EB.Anwendung&lt;&gt;"",Januar!Monat.ZS.Total,""))</f>
        <v xml:space="preserve">-     </v>
      </c>
      <c r="M15" s="16">
        <f ca="1">IF(EB.Anwendung&lt;&gt;"",Januar!Monat.UeZ.Total,"")</f>
        <v>0</v>
      </c>
      <c r="N15" s="135"/>
      <c r="O15" s="20">
        <f ca="1">IF(EB.Anwendung&lt;&gt;"",Januar!Monat.Soll_Ist_UeVM-Januar!Monat.AnUeZ.Total,"")</f>
        <v>-7.349999999999997</v>
      </c>
      <c r="P15" s="16">
        <f ca="1">IF(EB.Anwendung&lt;&gt;"",Januar!Monat.KomAZ.Total,"")</f>
        <v>0</v>
      </c>
      <c r="Q15" s="212"/>
      <c r="R15" s="82" t="str">
        <f ca="1">IF(EB.Anwendung&lt;&gt;"",Januar!Monat.Pikett.Zähler,"")</f>
        <v>0 / 0 / 0</v>
      </c>
      <c r="S15" s="16">
        <f ca="1">IF(EB.Anwendung&lt;&gt;"",Januar!Monat.ein_aus_Pikett.Total,"")</f>
        <v>0</v>
      </c>
      <c r="T15" s="16">
        <f ca="1">IF(EB.Anwendung&lt;&gt;"",Januar!Monat.ND.Total,"")</f>
        <v>0</v>
      </c>
      <c r="U15" s="82">
        <f ca="1">IF(EB.Anwendung&lt;&gt;"",Januar!Monat.ZählerND.Total,"")</f>
        <v>0</v>
      </c>
      <c r="V15" s="16">
        <f ca="1">IF(EB.Anwendung&lt;&gt;"",Januar!Monat.ZZSND.Total,"")</f>
        <v>0</v>
      </c>
      <c r="W15" s="16">
        <f ca="1">IF(EB.Anwendung&lt;&gt;"",Januar!Monat.KompZZSND.Total,"")</f>
        <v>0</v>
      </c>
      <c r="X15" s="16">
        <f ca="1">IF(EB.Anwendung&lt;&gt;"",Januar!Monat.ZZNdUe,"")</f>
        <v>0</v>
      </c>
      <c r="Y15" s="16">
        <f ca="1">IF(EB.Anwendung&lt;&gt;"",Januar!Monat.Abendarbeit.Total,"")</f>
        <v>0</v>
      </c>
      <c r="Z15" s="16">
        <f ca="1">IF(EB.Anwendung&lt;&gt;"",Januar!Monat.BD.Total,"")</f>
        <v>0</v>
      </c>
      <c r="AA15" s="16">
        <f ca="1">IF(EB.Anwendung&lt;&gt;"",Januar!Monat.SD.Total,"")</f>
        <v>0</v>
      </c>
      <c r="AB15" s="208"/>
      <c r="AC15" s="16">
        <f ca="1">IF(IF(EB.Anwendung&lt;&gt;"",Januar!Monat.FerienKor.Total,"")="+",IF(EB.Anwendung&lt;&gt;"",Januar!Monat.Ferien.Total,"")-IF(EB.Anwendung&lt;&gt;"",Januar!Monat.FerienKor.Total,""),IF(EB.Anwendung&lt;&gt;"",Januar!Monat.Ferien.Total,"")+IF(EB.Anwendung&lt;&gt;"",Januar!Monat.FerienKor.Total,""))</f>
        <v>0</v>
      </c>
      <c r="AD15" s="16">
        <f ca="1">IF(EB.Anwendung&lt;&gt;"",Januar!Monat.AB.Total,"")</f>
        <v>0</v>
      </c>
      <c r="AE15" s="16">
        <f ca="1">IF(EB.Anwendung&lt;&gt;"",Januar!Monat.Krank.Total,"")</f>
        <v>0</v>
      </c>
      <c r="AF15" s="16">
        <f ca="1">IF(EB.Anwendung&lt;&gt;"",Januar!Monat.BU.Total,"")</f>
        <v>0</v>
      </c>
      <c r="AG15" s="16">
        <f ca="1">IF(EB.Anwendung&lt;&gt;"",Januar!Monat.NBU.Total,"")</f>
        <v>0</v>
      </c>
      <c r="AH15" s="16">
        <f ca="1">IF(EB.Anwendung&lt;&gt;"",Januar!Monat.Militaer.Total,"")</f>
        <v>0</v>
      </c>
      <c r="AI15" s="16">
        <f ca="1">IF(EB.Anwendung&lt;&gt;"",Januar!Monat.WB.Total,"")</f>
        <v>0</v>
      </c>
      <c r="AJ15" s="16">
        <f ca="1">IF(EB.Anwendung&lt;&gt;"",Januar!Monat.BesU.Total,"")</f>
        <v>0</v>
      </c>
      <c r="AK15" s="16">
        <f ca="1">IF(EB.Anwendung&lt;&gt;"",Januar!Monat.UnbesU.Total,"")</f>
        <v>0</v>
      </c>
      <c r="AL15" s="16">
        <f ca="1">IF(EB.Anwendung&lt;&gt;"",Januar!Monat.NB.Total,"")</f>
        <v>0</v>
      </c>
      <c r="AM15" s="16">
        <f ca="1">IF(EB.Anwendung&lt;&gt;"",Januar!Monat.DAG.Total,"")</f>
        <v>0</v>
      </c>
      <c r="AN15" s="321"/>
      <c r="AO15" s="16">
        <f ca="1">IF(EB.Anwendung&lt;&gt;"",Januar!Monat.ein_aus.Total,"")</f>
        <v>0</v>
      </c>
    </row>
    <row r="16" spans="1:44" s="38" customFormat="1" ht="15" customHeight="1" x14ac:dyDescent="0.2">
      <c r="A16" s="335" t="str">
        <f>INDEX(EB.Monate.Bereich,2,0)</f>
        <v>Februar</v>
      </c>
      <c r="B16" s="208"/>
      <c r="C16" s="20">
        <f t="shared" ca="1" si="0"/>
        <v>0</v>
      </c>
      <c r="D16" s="85">
        <f>IF(Eingabeblatt!H14="","-     ",Eingabeblatt!H14)</f>
        <v>100</v>
      </c>
      <c r="E16" s="20">
        <f ca="1">Eingabeblatt!I14</f>
        <v>6.9999999999999973</v>
      </c>
      <c r="F16" s="20">
        <f ca="1">IF(EB.Anwendung&lt;&gt;"",Februar!Monat.Soll_Ist_UeVM,"")</f>
        <v>-6.9999999999999973</v>
      </c>
      <c r="G16" s="20">
        <f t="shared" ca="1" si="1"/>
        <v>88.349999999999966</v>
      </c>
      <c r="H16" s="321"/>
      <c r="I16" s="16">
        <f ca="1">IF(EB.Anwendung&lt;&gt;"",Februar!Monat.AnUeZ.Total,"")</f>
        <v>0</v>
      </c>
      <c r="J16" s="16">
        <f ca="1">IF(EB.Anwendung&lt;&gt;"",Februar!Monat.KomUeZ.Total,"")</f>
        <v>0</v>
      </c>
      <c r="K16" s="16" t="str">
        <f ca="1">IF(IF(EB.Anwendung&lt;&gt;"",Februar!Monat.UeZ.Saldo,"")&lt;=0,"-     ",IF(EB.Anwendung&lt;&gt;"",Februar!Monat.UeZ.Saldo,""))</f>
        <v xml:space="preserve">-     </v>
      </c>
      <c r="L16" s="16" t="str">
        <f ca="1">IF(IF(EB.Anwendung&lt;&gt;"",Februar!Monat.ZS.Total,"")&lt;=0,"-     ",IF(EB.Anwendung&lt;&gt;"",Februar!Monat.ZS.Total,""))</f>
        <v xml:space="preserve">-     </v>
      </c>
      <c r="M16" s="16">
        <f ca="1">IF(EB.Anwendung&lt;&gt;"",Februar!Monat.UeZ.Total,"")</f>
        <v>0</v>
      </c>
      <c r="N16" s="135"/>
      <c r="O16" s="20">
        <f ca="1">IF(EB.Anwendung&lt;&gt;"",Februar!Monat.Soll_Ist_UeVM-Februar!Monat.AnUeZ.Total,"")</f>
        <v>-6.9999999999999973</v>
      </c>
      <c r="P16" s="16">
        <f ca="1">IF(EB.Anwendung&lt;&gt;"",Februar!Monat.KomAZ.Total,"")</f>
        <v>0</v>
      </c>
      <c r="Q16" s="212"/>
      <c r="R16" s="82" t="str">
        <f ca="1">IF(EB.Anwendung&lt;&gt;"",Februar!Monat.Pikett.Zähler,"")</f>
        <v>0 / 0 / 0</v>
      </c>
      <c r="S16" s="16">
        <f ca="1">IF(EB.Anwendung&lt;&gt;"",Februar!Monat.ein_aus_Pikett.Total,"")</f>
        <v>0</v>
      </c>
      <c r="T16" s="16">
        <f ca="1">IF(EB.Anwendung&lt;&gt;"",Februar!Monat.ND.Total,"")</f>
        <v>0</v>
      </c>
      <c r="U16" s="82">
        <f ca="1">IF(EB.Anwendung&lt;&gt;"",Februar!Monat.ZählerND.Total,"")</f>
        <v>0</v>
      </c>
      <c r="V16" s="16">
        <f ca="1">IF(EB.Anwendung&lt;&gt;"",Februar!Monat.ZZSND.Total,"")</f>
        <v>0</v>
      </c>
      <c r="W16" s="16">
        <f ca="1">IF(EB.Anwendung&lt;&gt;"",Februar!Monat.KompZZSND.Total,"")</f>
        <v>0</v>
      </c>
      <c r="X16" s="16">
        <f ca="1">IF(EB.Anwendung&lt;&gt;"",Februar!Monat.ZZNdUe,"")</f>
        <v>0</v>
      </c>
      <c r="Y16" s="16">
        <f ca="1">IF(EB.Anwendung&lt;&gt;"",Februar!Monat.Abendarbeit.Total,"")</f>
        <v>0</v>
      </c>
      <c r="Z16" s="16">
        <f ca="1">IF(EB.Anwendung&lt;&gt;"",Februar!Monat.BD.Total,"")</f>
        <v>0</v>
      </c>
      <c r="AA16" s="16">
        <f ca="1">IF(EB.Anwendung&lt;&gt;"",Februar!Monat.SD.Total,"")</f>
        <v>0</v>
      </c>
      <c r="AB16" s="208"/>
      <c r="AC16" s="16">
        <f ca="1">IF(IF(EB.Anwendung&lt;&gt;"",Februar!Monat.FerienKor.Total,"")="+",IF(EB.Anwendung&lt;&gt;"",Februar!Monat.Ferien.Total,"")-IF(EB.Anwendung&lt;&gt;"",Februar!Monat.FerienKor.Total,""),IF(EB.Anwendung&lt;&gt;"",Februar!Monat.Ferien.Total,"")+IF(EB.Anwendung&lt;&gt;"",Februar!Monat.FerienKor.Total,""))</f>
        <v>0</v>
      </c>
      <c r="AD16" s="16">
        <f ca="1">IF(EB.Anwendung&lt;&gt;"",Februar!Monat.AB.Total,"")</f>
        <v>0</v>
      </c>
      <c r="AE16" s="16">
        <f ca="1">IF(EB.Anwendung&lt;&gt;"",Februar!Monat.Krank.Total,"")</f>
        <v>0</v>
      </c>
      <c r="AF16" s="16">
        <f ca="1">IF(EB.Anwendung&lt;&gt;"",Februar!Monat.BU.Total,"")</f>
        <v>0</v>
      </c>
      <c r="AG16" s="16">
        <f ca="1">IF(EB.Anwendung&lt;&gt;"",Februar!Monat.NBU.Total,"")</f>
        <v>0</v>
      </c>
      <c r="AH16" s="16">
        <f ca="1">IF(EB.Anwendung&lt;&gt;"",Februar!Monat.Militaer.Total,"")</f>
        <v>0</v>
      </c>
      <c r="AI16" s="16">
        <f ca="1">IF(EB.Anwendung&lt;&gt;"",Februar!Monat.WB.Total,"")</f>
        <v>0</v>
      </c>
      <c r="AJ16" s="16">
        <f ca="1">IF(EB.Anwendung&lt;&gt;"",Februar!Monat.BesU.Total,"")</f>
        <v>0</v>
      </c>
      <c r="AK16" s="16">
        <f ca="1">IF(EB.Anwendung&lt;&gt;"",Februar!Monat.UnbesU.Total,"")</f>
        <v>0</v>
      </c>
      <c r="AL16" s="16">
        <f ca="1">IF(EB.Anwendung&lt;&gt;"",Februar!Monat.NB.Total,"")</f>
        <v>0</v>
      </c>
      <c r="AM16" s="16">
        <f ca="1">IF(EB.Anwendung&lt;&gt;"",Februar!Monat.DAG.Total,"")</f>
        <v>0</v>
      </c>
      <c r="AN16" s="321"/>
      <c r="AO16" s="16">
        <f ca="1">IF(EB.Anwendung&lt;&gt;"",Februar!Monat.ein_aus.Total,"")</f>
        <v>0</v>
      </c>
    </row>
    <row r="17" spans="1:45" s="38" customFormat="1" ht="15" customHeight="1" x14ac:dyDescent="0.2">
      <c r="A17" s="335" t="str">
        <f>INDEX(EB.Monate.Bereich,3,0)</f>
        <v>März</v>
      </c>
      <c r="B17" s="208"/>
      <c r="C17" s="20">
        <f t="shared" ca="1" si="0"/>
        <v>0</v>
      </c>
      <c r="D17" s="85">
        <f>IF(Eingabeblatt!H15="","-     ",Eingabeblatt!H15)</f>
        <v>100</v>
      </c>
      <c r="E17" s="20">
        <f ca="1">Eingabeblatt!I15</f>
        <v>8.0499999999999972</v>
      </c>
      <c r="F17" s="20">
        <f ca="1">IF(EB.Anwendung&lt;&gt;"",März!Monat.Soll_Ist_UeVM,"")</f>
        <v>-8.0499999999999972</v>
      </c>
      <c r="G17" s="20">
        <f t="shared" ca="1" si="1"/>
        <v>88.349999999999966</v>
      </c>
      <c r="H17" s="321"/>
      <c r="I17" s="16">
        <f ca="1">IF(EB.Anwendung&lt;&gt;"",März!Monat.AnUeZ.Total,"")</f>
        <v>0</v>
      </c>
      <c r="J17" s="16">
        <f ca="1">IF(EB.Anwendung&lt;&gt;"",März!Monat.KomUeZ.Total,"")</f>
        <v>0</v>
      </c>
      <c r="K17" s="16" t="str">
        <f ca="1">IF(IF(EB.Anwendung&lt;&gt;"",März!Monat.UeZ.Saldo,"")&lt;=0,"-     ",IF(EB.Anwendung&lt;&gt;"",März!Monat.UeZ.Saldo,""))</f>
        <v xml:space="preserve">-     </v>
      </c>
      <c r="L17" s="16" t="str">
        <f ca="1">IF(IF(EB.Anwendung&lt;&gt;"",März!Monat.ZS.Total,"")&lt;=0,"-     ",IF(EB.Anwendung&lt;&gt;"",März!Monat.ZS.Total,""))</f>
        <v xml:space="preserve">-     </v>
      </c>
      <c r="M17" s="16">
        <f ca="1">IF(EB.Anwendung&lt;&gt;"",März!Monat.UeZ.Total,"")</f>
        <v>0</v>
      </c>
      <c r="N17" s="135"/>
      <c r="O17" s="20">
        <f ca="1">IF(EB.Anwendung&lt;&gt;"",März!Monat.Soll_Ist_UeVM-März!Monat.AnUeZ.Total,"")</f>
        <v>-8.0499999999999972</v>
      </c>
      <c r="P17" s="16">
        <f ca="1">IF(EB.Anwendung&lt;&gt;"",März!Monat.KomAZ.Total,"")</f>
        <v>0</v>
      </c>
      <c r="Q17" s="212"/>
      <c r="R17" s="82" t="str">
        <f ca="1">IF(EB.Anwendung&lt;&gt;"",März!Monat.Pikett.Zähler,"")</f>
        <v>0 / 0 / 0</v>
      </c>
      <c r="S17" s="16">
        <f ca="1">IF(EB.Anwendung&lt;&gt;"",März!Monat.ein_aus_Pikett.Total,"")</f>
        <v>0</v>
      </c>
      <c r="T17" s="16">
        <f ca="1">IF(EB.Anwendung&lt;&gt;"",März!Monat.ND.Total,"")</f>
        <v>0</v>
      </c>
      <c r="U17" s="82">
        <f ca="1">IF(EB.Anwendung&lt;&gt;"",März!Monat.ZählerND.Total,"")</f>
        <v>0</v>
      </c>
      <c r="V17" s="16">
        <f ca="1">IF(EB.Anwendung&lt;&gt;"",März!Monat.ZZSND.Total,"")</f>
        <v>0</v>
      </c>
      <c r="W17" s="16">
        <f ca="1">IF(EB.Anwendung&lt;&gt;"",März!Monat.KompZZSND.Total,"")</f>
        <v>0</v>
      </c>
      <c r="X17" s="16">
        <f ca="1">IF(EB.Anwendung&lt;&gt;"",März!Monat.ZZNdUe,"")</f>
        <v>0</v>
      </c>
      <c r="Y17" s="16">
        <f ca="1">IF(EB.Anwendung&lt;&gt;"",März!Monat.Abendarbeit.Total,"")</f>
        <v>0</v>
      </c>
      <c r="Z17" s="16">
        <f ca="1">IF(EB.Anwendung&lt;&gt;"",März!Monat.BD.Total,"")</f>
        <v>0</v>
      </c>
      <c r="AA17" s="16">
        <f ca="1">IF(EB.Anwendung&lt;&gt;"",März!Monat.SD.Total,"")</f>
        <v>0</v>
      </c>
      <c r="AB17" s="208"/>
      <c r="AC17" s="16">
        <f ca="1">IF(IF(EB.Anwendung&lt;&gt;"",März!Monat.FerienKor.Total,"")="+",IF(EB.Anwendung&lt;&gt;"",März!Monat.Ferien.Total,"")-IF(EB.Anwendung&lt;&gt;"",März!Monat.FerienKor.Total,""),IF(EB.Anwendung&lt;&gt;"",März!Monat.Ferien.Total,"")+IF(EB.Anwendung&lt;&gt;"",März!Monat.FerienKor.Total,""))</f>
        <v>0</v>
      </c>
      <c r="AD17" s="16">
        <f ca="1">IF(EB.Anwendung&lt;&gt;"",März!Monat.AB.Total,"")</f>
        <v>0</v>
      </c>
      <c r="AE17" s="16">
        <f ca="1">IF(EB.Anwendung&lt;&gt;"",März!Monat.Krank.Total,"")</f>
        <v>0</v>
      </c>
      <c r="AF17" s="16">
        <f ca="1">IF(EB.Anwendung&lt;&gt;"",März!Monat.BU.Total,"")</f>
        <v>0</v>
      </c>
      <c r="AG17" s="16">
        <f ca="1">IF(EB.Anwendung&lt;&gt;"",März!Monat.NBU.Total,"")</f>
        <v>0</v>
      </c>
      <c r="AH17" s="16">
        <f ca="1">IF(EB.Anwendung&lt;&gt;"",März!Monat.Militaer.Total,"")</f>
        <v>0</v>
      </c>
      <c r="AI17" s="16">
        <f ca="1">IF(EB.Anwendung&lt;&gt;"",März!Monat.WB.Total,"")</f>
        <v>0</v>
      </c>
      <c r="AJ17" s="16">
        <f ca="1">IF(EB.Anwendung&lt;&gt;"",März!Monat.BesU.Total,"")</f>
        <v>0</v>
      </c>
      <c r="AK17" s="16">
        <f ca="1">IF(EB.Anwendung&lt;&gt;"",März!Monat.UnbesU.Total,"")</f>
        <v>0</v>
      </c>
      <c r="AL17" s="16">
        <f ca="1">IF(EB.Anwendung&lt;&gt;"",März!Monat.NB.Total,"")</f>
        <v>0</v>
      </c>
      <c r="AM17" s="16">
        <f ca="1">IF(EB.Anwendung&lt;&gt;"",März!Monat.DAG.Total,"")</f>
        <v>0</v>
      </c>
      <c r="AN17" s="321"/>
      <c r="AO17" s="16">
        <f ca="1">IF(EB.Anwendung&lt;&gt;"",März!Monat.ein_aus.Total,"")</f>
        <v>0</v>
      </c>
    </row>
    <row r="18" spans="1:45" s="38" customFormat="1" ht="15" customHeight="1" x14ac:dyDescent="0.2">
      <c r="A18" s="335" t="str">
        <f>INDEX(EB.Monate.Bereich,4,0)</f>
        <v>April</v>
      </c>
      <c r="B18" s="208"/>
      <c r="C18" s="20">
        <f t="shared" ca="1" si="0"/>
        <v>0</v>
      </c>
      <c r="D18" s="85">
        <f>IF(Eingabeblatt!H16="","-     ",Eingabeblatt!H16)</f>
        <v>100</v>
      </c>
      <c r="E18" s="20">
        <f ca="1">Eingabeblatt!I16</f>
        <v>6.3749999999999982</v>
      </c>
      <c r="F18" s="20">
        <f ca="1">IF(EB.Anwendung&lt;&gt;"",April!Monat.Soll_Ist_UeVM,"")</f>
        <v>-6.3749999999999982</v>
      </c>
      <c r="G18" s="20">
        <f t="shared" ca="1" si="1"/>
        <v>88.349999999999966</v>
      </c>
      <c r="H18" s="321"/>
      <c r="I18" s="16">
        <f ca="1">IF(EB.Anwendung&lt;&gt;"",April!Monat.AnUeZ.Total,"")</f>
        <v>0</v>
      </c>
      <c r="J18" s="16">
        <f ca="1">IF(EB.Anwendung&lt;&gt;"",April!Monat.KomUeZ.Total,"")</f>
        <v>0</v>
      </c>
      <c r="K18" s="16" t="str">
        <f ca="1">IF(IF(EB.Anwendung&lt;&gt;"",April!Monat.UeZ.Saldo,"")&lt;=0,"-     ",IF(EB.Anwendung&lt;&gt;"",April!Monat.UeZ.Saldo,""))</f>
        <v xml:space="preserve">-     </v>
      </c>
      <c r="L18" s="16" t="str">
        <f ca="1">IF(IF(EB.Anwendung&lt;&gt;"",April!Monat.ZS.Total,"")&lt;=0,"-     ",IF(EB.Anwendung&lt;&gt;"",April!Monat.ZS.Total,""))</f>
        <v xml:space="preserve">-     </v>
      </c>
      <c r="M18" s="16">
        <f ca="1">IF(EB.Anwendung&lt;&gt;"",April!Monat.UeZ.Total,"")</f>
        <v>0</v>
      </c>
      <c r="N18" s="135"/>
      <c r="O18" s="20">
        <f ca="1">IF(EB.Anwendung&lt;&gt;"",April!Monat.Soll_Ist_UeVM-April!Monat.AnUeZ.Total,"")</f>
        <v>-6.3749999999999982</v>
      </c>
      <c r="P18" s="16">
        <f ca="1">IF(EB.Anwendung&lt;&gt;"",April!Monat.KomAZ.Total,"")</f>
        <v>0</v>
      </c>
      <c r="Q18" s="212"/>
      <c r="R18" s="82" t="str">
        <f ca="1">IF(EB.Anwendung&lt;&gt;"",April!Monat.Pikett.Zähler,"")</f>
        <v>0 / 0 / 0</v>
      </c>
      <c r="S18" s="16">
        <f ca="1">IF(EB.Anwendung&lt;&gt;"",April!Monat.ein_aus_Pikett.Total,"")</f>
        <v>0</v>
      </c>
      <c r="T18" s="16">
        <f ca="1">IF(EB.Anwendung&lt;&gt;"",April!Monat.ND.Total,"")</f>
        <v>0</v>
      </c>
      <c r="U18" s="82">
        <f ca="1">IF(EB.Anwendung&lt;&gt;"",April!Monat.ZählerND.Total,"")</f>
        <v>0</v>
      </c>
      <c r="V18" s="16">
        <f ca="1">IF(EB.Anwendung&lt;&gt;"",April!Monat.ZZSND.Total,"")</f>
        <v>0</v>
      </c>
      <c r="W18" s="16">
        <f ca="1">IF(EB.Anwendung&lt;&gt;"",April!Monat.KompZZSND.Total,"")</f>
        <v>0</v>
      </c>
      <c r="X18" s="16">
        <f ca="1">IF(EB.Anwendung&lt;&gt;"",April!Monat.ZZNdUe,"")</f>
        <v>0</v>
      </c>
      <c r="Y18" s="16">
        <f ca="1">IF(EB.Anwendung&lt;&gt;"",April!Monat.Abendarbeit.Total,"")</f>
        <v>0</v>
      </c>
      <c r="Z18" s="16">
        <f ca="1">IF(EB.Anwendung&lt;&gt;"",April!Monat.BD.Total,"")</f>
        <v>0</v>
      </c>
      <c r="AA18" s="16">
        <f ca="1">IF(EB.Anwendung&lt;&gt;"",April!Monat.SD.Total,"")</f>
        <v>0</v>
      </c>
      <c r="AB18" s="208"/>
      <c r="AC18" s="16">
        <f ca="1">IF(IF(EB.Anwendung&lt;&gt;"",April!Monat.FerienKor.Total,"")="+",IF(EB.Anwendung&lt;&gt;"",April!Monat.Ferien.Total,"")-IF(EB.Anwendung&lt;&gt;"",April!Monat.FerienKor.Total,""),IF(EB.Anwendung&lt;&gt;"",April!Monat.Ferien.Total,"")+IF(EB.Anwendung&lt;&gt;"",April!Monat.FerienKor.Total,""))</f>
        <v>0</v>
      </c>
      <c r="AD18" s="16">
        <f ca="1">IF(EB.Anwendung&lt;&gt;"",April!Monat.AB.Total,"")</f>
        <v>0</v>
      </c>
      <c r="AE18" s="16">
        <f ca="1">IF(EB.Anwendung&lt;&gt;"",April!Monat.Krank.Total,"")</f>
        <v>0</v>
      </c>
      <c r="AF18" s="16">
        <f ca="1">IF(EB.Anwendung&lt;&gt;"",April!Monat.BU.Total,"")</f>
        <v>0</v>
      </c>
      <c r="AG18" s="16">
        <f ca="1">IF(EB.Anwendung&lt;&gt;"",April!Monat.NBU.Total,"")</f>
        <v>0</v>
      </c>
      <c r="AH18" s="16">
        <f ca="1">IF(EB.Anwendung&lt;&gt;"",April!Monat.Militaer.Total,"")</f>
        <v>0</v>
      </c>
      <c r="AI18" s="16">
        <f ca="1">IF(EB.Anwendung&lt;&gt;"",April!Monat.WB.Total,"")</f>
        <v>0</v>
      </c>
      <c r="AJ18" s="16">
        <f ca="1">IF(EB.Anwendung&lt;&gt;"",April!Monat.BesU.Total,"")</f>
        <v>0</v>
      </c>
      <c r="AK18" s="16">
        <f ca="1">IF(EB.Anwendung&lt;&gt;"",April!Monat.UnbesU.Total,"")</f>
        <v>0</v>
      </c>
      <c r="AL18" s="16">
        <f ca="1">IF(EB.Anwendung&lt;&gt;"",April!Monat.NB.Total,"")</f>
        <v>0</v>
      </c>
      <c r="AM18" s="16">
        <f ca="1">IF(EB.Anwendung&lt;&gt;"",April!Monat.DAG.Total,"")</f>
        <v>0</v>
      </c>
      <c r="AN18" s="321"/>
      <c r="AO18" s="16">
        <f ca="1">IF(EB.Anwendung&lt;&gt;"",April!Monat.ein_aus.Total,"")</f>
        <v>0</v>
      </c>
    </row>
    <row r="19" spans="1:45" s="38" customFormat="1" ht="15" customHeight="1" x14ac:dyDescent="0.2">
      <c r="A19" s="335" t="str">
        <f>INDEX(EB.Monate.Bereich,5,0)</f>
        <v>Mai</v>
      </c>
      <c r="B19" s="208"/>
      <c r="C19" s="20">
        <f t="shared" ca="1" si="0"/>
        <v>0</v>
      </c>
      <c r="D19" s="85">
        <f>IF(Eingabeblatt!H17="","-     ",Eingabeblatt!H17)</f>
        <v>100</v>
      </c>
      <c r="E19" s="20">
        <f ca="1">Eingabeblatt!I17</f>
        <v>7.2499999999999973</v>
      </c>
      <c r="F19" s="20">
        <f ca="1">IF(EB.Anwendung&lt;&gt;"",Mai!Monat.Soll_Ist_UeVM,"")</f>
        <v>-7.2499999999999973</v>
      </c>
      <c r="G19" s="20">
        <f t="shared" ca="1" si="1"/>
        <v>88.349999999999966</v>
      </c>
      <c r="H19" s="321"/>
      <c r="I19" s="16">
        <f ca="1">IF(EB.Anwendung&lt;&gt;"",Mai!Monat.AnUeZ.Total,"")</f>
        <v>0</v>
      </c>
      <c r="J19" s="16">
        <f ca="1">IF(EB.Anwendung&lt;&gt;"",Mai!Monat.KomUeZ.Total,"")</f>
        <v>0</v>
      </c>
      <c r="K19" s="16" t="str">
        <f ca="1">IF(IF(EB.Anwendung&lt;&gt;"",Mai!Monat.UeZ.Saldo,"")&lt;=0,"-     ",IF(EB.Anwendung&lt;&gt;"",Mai!Monat.UeZ.Saldo,""))</f>
        <v xml:space="preserve">-     </v>
      </c>
      <c r="L19" s="16" t="str">
        <f ca="1">IF(IF(EB.Anwendung&lt;&gt;"",Mai!Monat.ZS.Total,"")&lt;=0,"-     ",IF(EB.Anwendung&lt;&gt;"",Mai!Monat.ZS.Total,""))</f>
        <v xml:space="preserve">-     </v>
      </c>
      <c r="M19" s="16">
        <f ca="1">IF(EB.Anwendung&lt;&gt;"",Mai!Monat.UeZ.Total,"")</f>
        <v>0</v>
      </c>
      <c r="N19" s="135"/>
      <c r="O19" s="20">
        <f ca="1">IF(EB.Anwendung&lt;&gt;"",Mai!Monat.Soll_Ist_UeVM-Mai!Monat.AnUeZ.Total,"")</f>
        <v>-7.2499999999999973</v>
      </c>
      <c r="P19" s="16">
        <f ca="1">IF(EB.Anwendung&lt;&gt;"",Mai!Monat.KomAZ.Total,"")</f>
        <v>0</v>
      </c>
      <c r="Q19" s="212"/>
      <c r="R19" s="82" t="str">
        <f ca="1">IF(EB.Anwendung&lt;&gt;"",Mai!Monat.Pikett.Zähler,"")</f>
        <v>0 / 0 / 0</v>
      </c>
      <c r="S19" s="16">
        <f ca="1">IF(EB.Anwendung&lt;&gt;"",Mai!Monat.ein_aus_Pikett.Total,"")</f>
        <v>0</v>
      </c>
      <c r="T19" s="16">
        <f ca="1">IF(EB.Anwendung&lt;&gt;"",Mai!Monat.ND.Total,"")</f>
        <v>0</v>
      </c>
      <c r="U19" s="82">
        <f ca="1">IF(EB.Anwendung&lt;&gt;"",Mai!Monat.ZählerND.Total,"")</f>
        <v>0</v>
      </c>
      <c r="V19" s="16">
        <f ca="1">IF(EB.Anwendung&lt;&gt;"",Mai!Monat.ZZSND.Total,"")</f>
        <v>0</v>
      </c>
      <c r="W19" s="16">
        <f ca="1">IF(EB.Anwendung&lt;&gt;"",Mai!Monat.KompZZSND.Total,"")</f>
        <v>0</v>
      </c>
      <c r="X19" s="16">
        <f ca="1">IF(EB.Anwendung&lt;&gt;"",Mai!Monat.ZZNdUe,"")</f>
        <v>0</v>
      </c>
      <c r="Y19" s="16">
        <f ca="1">IF(EB.Anwendung&lt;&gt;"",Mai!Monat.Abendarbeit.Total,"")</f>
        <v>0</v>
      </c>
      <c r="Z19" s="16">
        <f ca="1">IF(EB.Anwendung&lt;&gt;"",Mai!Monat.BD.Total,"")</f>
        <v>0</v>
      </c>
      <c r="AA19" s="16">
        <f ca="1">IF(EB.Anwendung&lt;&gt;"",Mai!Monat.SD.Total,"")</f>
        <v>0</v>
      </c>
      <c r="AB19" s="208"/>
      <c r="AC19" s="16">
        <f ca="1">IF(IF(EB.Anwendung&lt;&gt;"",Mai!Monat.FerienKor.Total,"")="+",IF(EB.Anwendung&lt;&gt;"",Mai!Monat.Ferien.Total,"")-IF(EB.Anwendung&lt;&gt;"",Mai!Monat.FerienKor.Total,""),IF(EB.Anwendung&lt;&gt;"",Mai!Monat.Ferien.Total,"")+IF(EB.Anwendung&lt;&gt;"",Mai!Monat.FerienKor.Total,""))</f>
        <v>0</v>
      </c>
      <c r="AD19" s="16">
        <f ca="1">IF(EB.Anwendung&lt;&gt;"",Mai!Monat.AB.Total,"")</f>
        <v>0</v>
      </c>
      <c r="AE19" s="16">
        <f ca="1">IF(EB.Anwendung&lt;&gt;"",Mai!Monat.Krank.Total,"")</f>
        <v>0</v>
      </c>
      <c r="AF19" s="16">
        <f ca="1">IF(EB.Anwendung&lt;&gt;"",Mai!Monat.BU.Total,"")</f>
        <v>0</v>
      </c>
      <c r="AG19" s="16">
        <f ca="1">IF(EB.Anwendung&lt;&gt;"",Mai!Monat.NBU.Total,"")</f>
        <v>0</v>
      </c>
      <c r="AH19" s="16">
        <f ca="1">IF(EB.Anwendung&lt;&gt;"",Mai!Monat.Militaer.Total,"")</f>
        <v>0</v>
      </c>
      <c r="AI19" s="16">
        <f ca="1">IF(EB.Anwendung&lt;&gt;"",Mai!Monat.WB.Total,"")</f>
        <v>0</v>
      </c>
      <c r="AJ19" s="16">
        <f ca="1">IF(EB.Anwendung&lt;&gt;"",Mai!Monat.BesU.Total,"")</f>
        <v>0</v>
      </c>
      <c r="AK19" s="16">
        <f ca="1">IF(EB.Anwendung&lt;&gt;"",Mai!Monat.UnbesU.Total,"")</f>
        <v>0</v>
      </c>
      <c r="AL19" s="16">
        <f ca="1">IF(EB.Anwendung&lt;&gt;"",Mai!Monat.NB.Total,"")</f>
        <v>0</v>
      </c>
      <c r="AM19" s="16">
        <f ca="1">IF(EB.Anwendung&lt;&gt;"",Mai!Monat.DAG.Total,"")</f>
        <v>0</v>
      </c>
      <c r="AN19" s="321"/>
      <c r="AO19" s="16">
        <f ca="1">IF(EB.Anwendung&lt;&gt;"",Mai!Monat.ein_aus.Total,"")</f>
        <v>0</v>
      </c>
    </row>
    <row r="20" spans="1:45" s="38" customFormat="1" ht="15" customHeight="1" x14ac:dyDescent="0.2">
      <c r="A20" s="335" t="str">
        <f>INDEX(EB.Monate.Bereich,6,0)</f>
        <v>Juni</v>
      </c>
      <c r="B20" s="208"/>
      <c r="C20" s="20">
        <f t="shared" ca="1" si="0"/>
        <v>0</v>
      </c>
      <c r="D20" s="85">
        <f>IF(Eingabeblatt!H18="","-     ",Eingabeblatt!H18)</f>
        <v>100</v>
      </c>
      <c r="E20" s="20">
        <f ca="1">Eingabeblatt!I18</f>
        <v>7.349999999999997</v>
      </c>
      <c r="F20" s="20">
        <f ca="1">IF(EB.Anwendung&lt;&gt;"",Juni!Monat.Soll_Ist_UeVM,"")</f>
        <v>-7.349999999999997</v>
      </c>
      <c r="G20" s="20">
        <f t="shared" ca="1" si="1"/>
        <v>88.349999999999966</v>
      </c>
      <c r="H20" s="321"/>
      <c r="I20" s="16">
        <f ca="1">IF(EB.Anwendung&lt;&gt;"",Juni!Monat.AnUeZ.Total,"")</f>
        <v>0</v>
      </c>
      <c r="J20" s="16">
        <f ca="1">IF(EB.Anwendung&lt;&gt;"",Juni!Monat.KomUeZ.Total,"")</f>
        <v>0</v>
      </c>
      <c r="K20" s="16" t="str">
        <f ca="1">IF(IF(EB.Anwendung&lt;&gt;"",Juni!Monat.UeZ.Saldo,"")&lt;=0,"-     ",IF(EB.Anwendung&lt;&gt;"",Juni!Monat.UeZ.Saldo,""))</f>
        <v xml:space="preserve">-     </v>
      </c>
      <c r="L20" s="16" t="str">
        <f ca="1">IF(IF(EB.Anwendung&lt;&gt;"",Juni!Monat.ZS.Total,"")&lt;=0,"-     ",IF(EB.Anwendung&lt;&gt;"",Juni!Monat.ZS.Total,""))</f>
        <v xml:space="preserve">-     </v>
      </c>
      <c r="M20" s="16">
        <f ca="1">IF(EB.Anwendung&lt;&gt;"",Juni!Monat.UeZ.Total,"")</f>
        <v>0</v>
      </c>
      <c r="N20" s="135"/>
      <c r="O20" s="20">
        <f ca="1">IF(EB.Anwendung&lt;&gt;"",Juni!Monat.Soll_Ist_UeVM-Juni!Monat.AnUeZ.Total,"")</f>
        <v>-7.349999999999997</v>
      </c>
      <c r="P20" s="16">
        <f ca="1">IF(EB.Anwendung&lt;&gt;"",Juni!Monat.KomAZ.Total,"")</f>
        <v>0</v>
      </c>
      <c r="Q20" s="212"/>
      <c r="R20" s="82" t="str">
        <f ca="1">IF(EB.Anwendung&lt;&gt;"",Juni!Monat.Pikett.Zähler,"")</f>
        <v>0 / 0 / 0</v>
      </c>
      <c r="S20" s="16">
        <f ca="1">IF(EB.Anwendung&lt;&gt;"",Juni!Monat.ein_aus_Pikett.Total,"")</f>
        <v>0</v>
      </c>
      <c r="T20" s="16">
        <f ca="1">IF(EB.Anwendung&lt;&gt;"",Juni!Monat.ND.Total,"")</f>
        <v>0</v>
      </c>
      <c r="U20" s="82">
        <f ca="1">IF(EB.Anwendung&lt;&gt;"",Juni!Monat.ZählerND.Total,"")</f>
        <v>0</v>
      </c>
      <c r="V20" s="16">
        <f ca="1">IF(EB.Anwendung&lt;&gt;"",Juni!Monat.ZZSND.Total,"")</f>
        <v>0</v>
      </c>
      <c r="W20" s="16">
        <f ca="1">IF(EB.Anwendung&lt;&gt;"",Juni!Monat.KompZZSND.Total,"")</f>
        <v>0</v>
      </c>
      <c r="X20" s="16">
        <f ca="1">IF(EB.Anwendung&lt;&gt;"",Juni!Monat.ZZNdUe,"")</f>
        <v>0</v>
      </c>
      <c r="Y20" s="16">
        <f ca="1">IF(EB.Anwendung&lt;&gt;"",Juni!Monat.Abendarbeit.Total,"")</f>
        <v>0</v>
      </c>
      <c r="Z20" s="16">
        <f ca="1">IF(EB.Anwendung&lt;&gt;"",Juni!Monat.BD.Total,"")</f>
        <v>0</v>
      </c>
      <c r="AA20" s="16">
        <f ca="1">IF(EB.Anwendung&lt;&gt;"",Juni!Monat.SD.Total,"")</f>
        <v>0</v>
      </c>
      <c r="AB20" s="208"/>
      <c r="AC20" s="16">
        <f ca="1">IF(IF(EB.Anwendung&lt;&gt;"",Juni!Monat.FerienKor.Total,"")="+",IF(EB.Anwendung&lt;&gt;"",Juni!Monat.Ferien.Total,"")-IF(EB.Anwendung&lt;&gt;"",Juni!Monat.FerienKor.Total,""),IF(EB.Anwendung&lt;&gt;"",Juni!Monat.Ferien.Total,"")+IF(EB.Anwendung&lt;&gt;"",Juni!Monat.FerienKor.Total,""))</f>
        <v>0</v>
      </c>
      <c r="AD20" s="16">
        <f ca="1">IF(EB.Anwendung&lt;&gt;"",Juni!Monat.AB.Total,"")</f>
        <v>0</v>
      </c>
      <c r="AE20" s="16">
        <f ca="1">IF(EB.Anwendung&lt;&gt;"",Juni!Monat.Krank.Total,"")</f>
        <v>0</v>
      </c>
      <c r="AF20" s="16">
        <f ca="1">IF(EB.Anwendung&lt;&gt;"",Juni!Monat.BU.Total,"")</f>
        <v>0</v>
      </c>
      <c r="AG20" s="16">
        <f ca="1">IF(EB.Anwendung&lt;&gt;"",Juni!Monat.NBU.Total,"")</f>
        <v>0</v>
      </c>
      <c r="AH20" s="16">
        <f ca="1">IF(EB.Anwendung&lt;&gt;"",Juni!Monat.Militaer.Total,"")</f>
        <v>0</v>
      </c>
      <c r="AI20" s="16">
        <f ca="1">IF(EB.Anwendung&lt;&gt;"",Juni!Monat.WB.Total,"")</f>
        <v>0</v>
      </c>
      <c r="AJ20" s="16">
        <f ca="1">IF(EB.Anwendung&lt;&gt;"",Juni!Monat.BesU.Total,"")</f>
        <v>0</v>
      </c>
      <c r="AK20" s="16">
        <f ca="1">IF(EB.Anwendung&lt;&gt;"",Juni!Monat.UnbesU.Total,"")</f>
        <v>0</v>
      </c>
      <c r="AL20" s="16">
        <f ca="1">IF(EB.Anwendung&lt;&gt;"",Juni!Monat.NB.Total,"")</f>
        <v>0</v>
      </c>
      <c r="AM20" s="16">
        <f ca="1">IF(EB.Anwendung&lt;&gt;"",Juni!Monat.DAG.Total,"")</f>
        <v>0</v>
      </c>
      <c r="AN20" s="321"/>
      <c r="AO20" s="16">
        <f ca="1">IF(EB.Anwendung&lt;&gt;"",Juni!Monat.ein_aus.Total,"")</f>
        <v>0</v>
      </c>
    </row>
    <row r="21" spans="1:45" s="38" customFormat="1" ht="15" customHeight="1" x14ac:dyDescent="0.2">
      <c r="A21" s="335" t="str">
        <f>INDEX(EB.Monate.Bereich,7,0)</f>
        <v>Juli</v>
      </c>
      <c r="B21" s="208"/>
      <c r="C21" s="20">
        <f t="shared" ca="1" si="0"/>
        <v>0</v>
      </c>
      <c r="D21" s="85">
        <f>IF(Eingabeblatt!H19="","-     ",Eingabeblatt!H19)</f>
        <v>100</v>
      </c>
      <c r="E21" s="20">
        <f ca="1">Eingabeblatt!I19</f>
        <v>7.349999999999997</v>
      </c>
      <c r="F21" s="20">
        <f ca="1">IF(EB.Anwendung&lt;&gt;"",Juli!Monat.Soll_Ist_UeVM,"")</f>
        <v>-7.349999999999997</v>
      </c>
      <c r="G21" s="20">
        <f t="shared" ca="1" si="1"/>
        <v>88.349999999999966</v>
      </c>
      <c r="H21" s="321"/>
      <c r="I21" s="16">
        <f ca="1">IF(EB.Anwendung&lt;&gt;"",Juli!Monat.AnUeZ.Total,"")</f>
        <v>0</v>
      </c>
      <c r="J21" s="16">
        <f ca="1">IF(EB.Anwendung&lt;&gt;"",Juli!Monat.KomUeZ.Total,"")</f>
        <v>0</v>
      </c>
      <c r="K21" s="16" t="str">
        <f ca="1">IF(IF(EB.Anwendung&lt;&gt;"",Juli!Monat.UeZ.Saldo,"")&lt;=0,"-     ",IF(EB.Anwendung&lt;&gt;"",Juli!Monat.UeZ.Saldo,""))</f>
        <v xml:space="preserve">-     </v>
      </c>
      <c r="L21" s="16" t="str">
        <f ca="1">IF(IF(EB.Anwendung&lt;&gt;"",Juli!Monat.ZS.Total,"")&lt;=0,"-     ",IF(EB.Anwendung&lt;&gt;"",Juli!Monat.ZS.Total,""))</f>
        <v xml:space="preserve">-     </v>
      </c>
      <c r="M21" s="16">
        <f ca="1">IF(EB.Anwendung&lt;&gt;"",Juli!Monat.UeZ.Total,"")</f>
        <v>0</v>
      </c>
      <c r="N21" s="135"/>
      <c r="O21" s="20">
        <f ca="1">IF(EB.Anwendung&lt;&gt;"",Juli!Monat.Soll_Ist_UeVM-Juli!Monat.AnUeZ.Total,"")</f>
        <v>-7.349999999999997</v>
      </c>
      <c r="P21" s="16">
        <f ca="1">IF(EB.Anwendung&lt;&gt;"",Juli!Monat.KomAZ.Total,"")</f>
        <v>0</v>
      </c>
      <c r="Q21" s="212"/>
      <c r="R21" s="82" t="str">
        <f ca="1">IF(EB.Anwendung&lt;&gt;"",Juli!Monat.Pikett.Zähler,"")</f>
        <v>0 / 0 / 0</v>
      </c>
      <c r="S21" s="16">
        <f ca="1">IF(EB.Anwendung&lt;&gt;"",Juli!Monat.ein_aus_Pikett.Total,"")</f>
        <v>0</v>
      </c>
      <c r="T21" s="16">
        <f ca="1">IF(EB.Anwendung&lt;&gt;"",Juli!Monat.ND.Total,"")</f>
        <v>0</v>
      </c>
      <c r="U21" s="82">
        <f ca="1">IF(EB.Anwendung&lt;&gt;"",Juli!Monat.ZählerND.Total,"")</f>
        <v>0</v>
      </c>
      <c r="V21" s="16">
        <f ca="1">IF(EB.Anwendung&lt;&gt;"",Juli!Monat.ZZSND.Total,"")</f>
        <v>0</v>
      </c>
      <c r="W21" s="16">
        <f ca="1">IF(EB.Anwendung&lt;&gt;"",Juli!Monat.KompZZSND.Total,"")</f>
        <v>0</v>
      </c>
      <c r="X21" s="16">
        <f ca="1">IF(EB.Anwendung&lt;&gt;"",Juli!Monat.ZZNdUe,"")</f>
        <v>0</v>
      </c>
      <c r="Y21" s="16">
        <f ca="1">IF(EB.Anwendung&lt;&gt;"",Juli!Monat.Abendarbeit.Total,"")</f>
        <v>0</v>
      </c>
      <c r="Z21" s="16">
        <f ca="1">IF(EB.Anwendung&lt;&gt;"",Juli!Monat.BD.Total,"")</f>
        <v>0</v>
      </c>
      <c r="AA21" s="16">
        <f ca="1">IF(EB.Anwendung&lt;&gt;"",Juli!Monat.SD.Total,"")</f>
        <v>0</v>
      </c>
      <c r="AB21" s="208"/>
      <c r="AC21" s="16">
        <f ca="1">IF(IF(EB.Anwendung&lt;&gt;"",Juli!Monat.FerienKor.Total,"")="+",IF(EB.Anwendung&lt;&gt;"",Juli!Monat.Ferien.Total,"")-IF(EB.Anwendung&lt;&gt;"",Juli!Monat.FerienKor.Total,""),IF(EB.Anwendung&lt;&gt;"",Juli!Monat.Ferien.Total,"")+IF(EB.Anwendung&lt;&gt;"",Juli!Monat.FerienKor.Total,""))</f>
        <v>0</v>
      </c>
      <c r="AD21" s="16">
        <f ca="1">IF(EB.Anwendung&lt;&gt;"",Juli!Monat.AB.Total,"")</f>
        <v>0</v>
      </c>
      <c r="AE21" s="16">
        <f ca="1">IF(EB.Anwendung&lt;&gt;"",Juli!Monat.Krank.Total,"")</f>
        <v>0</v>
      </c>
      <c r="AF21" s="16">
        <f ca="1">IF(EB.Anwendung&lt;&gt;"",Juli!Monat.BU.Total,"")</f>
        <v>0</v>
      </c>
      <c r="AG21" s="16">
        <f ca="1">IF(EB.Anwendung&lt;&gt;"",Juli!Monat.NBU.Total,"")</f>
        <v>0</v>
      </c>
      <c r="AH21" s="16">
        <f ca="1">IF(EB.Anwendung&lt;&gt;"",Juli!Monat.Militaer.Total,"")</f>
        <v>0</v>
      </c>
      <c r="AI21" s="16">
        <f ca="1">IF(EB.Anwendung&lt;&gt;"",Juli!Monat.WB.Total,"")</f>
        <v>0</v>
      </c>
      <c r="AJ21" s="16">
        <f ca="1">IF(EB.Anwendung&lt;&gt;"",Juli!Monat.BesU.Total,"")</f>
        <v>0</v>
      </c>
      <c r="AK21" s="16">
        <f ca="1">IF(EB.Anwendung&lt;&gt;"",Juli!Monat.UnbesU.Total,"")</f>
        <v>0</v>
      </c>
      <c r="AL21" s="16">
        <f ca="1">IF(EB.Anwendung&lt;&gt;"",Juli!Monat.NB.Total,"")</f>
        <v>0</v>
      </c>
      <c r="AM21" s="16">
        <f ca="1">IF(EB.Anwendung&lt;&gt;"",Juli!Monat.DAG.Total,"")</f>
        <v>0</v>
      </c>
      <c r="AN21" s="321"/>
      <c r="AO21" s="16">
        <f ca="1">IF(EB.Anwendung&lt;&gt;"",Juli!Monat.ein_aus.Total,"")</f>
        <v>0</v>
      </c>
    </row>
    <row r="22" spans="1:45" s="38" customFormat="1" ht="15" customHeight="1" x14ac:dyDescent="0.2">
      <c r="A22" s="335" t="str">
        <f>INDEX(EB.Monate.Bereich,8,0)</f>
        <v>August</v>
      </c>
      <c r="B22" s="208"/>
      <c r="C22" s="20">
        <f t="shared" ca="1" si="0"/>
        <v>0</v>
      </c>
      <c r="D22" s="85">
        <f>IF(Eingabeblatt!H20="","-     ",Eingabeblatt!H20)</f>
        <v>100</v>
      </c>
      <c r="E22" s="20">
        <f ca="1">Eingabeblatt!I20</f>
        <v>7.6999999999999966</v>
      </c>
      <c r="F22" s="20">
        <f ca="1">IF(EB.Anwendung&lt;&gt;"",August!Monat.Soll_Ist_UeVM,"")</f>
        <v>-7.6999999999999966</v>
      </c>
      <c r="G22" s="20">
        <f t="shared" ca="1" si="1"/>
        <v>88.349999999999966</v>
      </c>
      <c r="H22" s="321"/>
      <c r="I22" s="16">
        <f ca="1">IF(EB.Anwendung&lt;&gt;"",August!Monat.AnUeZ.Total,"")</f>
        <v>0</v>
      </c>
      <c r="J22" s="16">
        <f ca="1">IF(EB.Anwendung&lt;&gt;"",August!Monat.KomUeZ.Total,"")</f>
        <v>0</v>
      </c>
      <c r="K22" s="16" t="str">
        <f ca="1">IF(IF(EB.Anwendung&lt;&gt;"",August!Monat.UeZ.Saldo,"")&lt;=0,"-     ",IF(EB.Anwendung&lt;&gt;"",August!Monat.UeZ.Saldo,""))</f>
        <v xml:space="preserve">-     </v>
      </c>
      <c r="L22" s="16" t="str">
        <f ca="1">IF(IF(EB.Anwendung&lt;&gt;"",August!Monat.ZS.Total,"")&lt;=0,"-     ",IF(EB.Anwendung&lt;&gt;"",August!Monat.ZS.Total,""))</f>
        <v xml:space="preserve">-     </v>
      </c>
      <c r="M22" s="16">
        <f ca="1">IF(EB.Anwendung&lt;&gt;"",August!Monat.UeZ.Total,"")</f>
        <v>0</v>
      </c>
      <c r="N22" s="135"/>
      <c r="O22" s="20">
        <f ca="1">IF(EB.Anwendung&lt;&gt;"",August!Monat.Soll_Ist_UeVM-August!Monat.AnUeZ.Total,"")</f>
        <v>-7.6999999999999966</v>
      </c>
      <c r="P22" s="16">
        <f ca="1">IF(EB.Anwendung&lt;&gt;"",August!Monat.KomAZ.Total,"")</f>
        <v>0</v>
      </c>
      <c r="Q22" s="212"/>
      <c r="R22" s="82" t="str">
        <f ca="1">IF(EB.Anwendung&lt;&gt;"",August!Monat.Pikett.Zähler,"")</f>
        <v>0 / 0 / 0</v>
      </c>
      <c r="S22" s="16">
        <f ca="1">IF(EB.Anwendung&lt;&gt;"",August!Monat.ein_aus_Pikett.Total,"")</f>
        <v>0</v>
      </c>
      <c r="T22" s="16">
        <f ca="1">IF(EB.Anwendung&lt;&gt;"",August!Monat.ND.Total,"")</f>
        <v>0</v>
      </c>
      <c r="U22" s="82">
        <f ca="1">IF(EB.Anwendung&lt;&gt;"",August!Monat.ZählerND.Total,"")</f>
        <v>0</v>
      </c>
      <c r="V22" s="16">
        <f ca="1">IF(EB.Anwendung&lt;&gt;"",August!Monat.ZZSND.Total,"")</f>
        <v>0</v>
      </c>
      <c r="W22" s="16">
        <f ca="1">IF(EB.Anwendung&lt;&gt;"",August!Monat.KompZZSND.Total,"")</f>
        <v>0</v>
      </c>
      <c r="X22" s="16">
        <f ca="1">IF(EB.Anwendung&lt;&gt;"",August!Monat.ZZNdUe,"")</f>
        <v>0</v>
      </c>
      <c r="Y22" s="16">
        <f ca="1">IF(EB.Anwendung&lt;&gt;"",August!Monat.Abendarbeit.Total,"")</f>
        <v>0</v>
      </c>
      <c r="Z22" s="16">
        <f ca="1">IF(EB.Anwendung&lt;&gt;"",August!Monat.BD.Total,"")</f>
        <v>0</v>
      </c>
      <c r="AA22" s="16">
        <f ca="1">IF(EB.Anwendung&lt;&gt;"",August!Monat.SD.Total,"")</f>
        <v>0</v>
      </c>
      <c r="AB22" s="208"/>
      <c r="AC22" s="16">
        <f ca="1">IF(IF(EB.Anwendung&lt;&gt;"",August!Monat.FerienKor.Total,"")="+",IF(EB.Anwendung&lt;&gt;"",August!Monat.Ferien.Total,"")-IF(EB.Anwendung&lt;&gt;"",August!Monat.FerienKor.Total,""),IF(EB.Anwendung&lt;&gt;"",August!Monat.Ferien.Total,"")+IF(EB.Anwendung&lt;&gt;"",August!Monat.FerienKor.Total,""))</f>
        <v>0</v>
      </c>
      <c r="AD22" s="16">
        <f ca="1">IF(EB.Anwendung&lt;&gt;"",August!Monat.AB.Total,"")</f>
        <v>0</v>
      </c>
      <c r="AE22" s="16">
        <f ca="1">IF(EB.Anwendung&lt;&gt;"",August!Monat.Krank.Total,"")</f>
        <v>0</v>
      </c>
      <c r="AF22" s="16">
        <f ca="1">IF(EB.Anwendung&lt;&gt;"",August!Monat.BU.Total,"")</f>
        <v>0</v>
      </c>
      <c r="AG22" s="16">
        <f ca="1">IF(EB.Anwendung&lt;&gt;"",August!Monat.NBU.Total,"")</f>
        <v>0</v>
      </c>
      <c r="AH22" s="16">
        <f ca="1">IF(EB.Anwendung&lt;&gt;"",August!Monat.Militaer.Total,"")</f>
        <v>0</v>
      </c>
      <c r="AI22" s="16">
        <f ca="1">IF(EB.Anwendung&lt;&gt;"",August!Monat.WB.Total,"")</f>
        <v>0</v>
      </c>
      <c r="AJ22" s="16">
        <f ca="1">IF(EB.Anwendung&lt;&gt;"",August!Monat.BesU.Total,"")</f>
        <v>0</v>
      </c>
      <c r="AK22" s="16">
        <f ca="1">IF(EB.Anwendung&lt;&gt;"",August!Monat.UnbesU.Total,"")</f>
        <v>0</v>
      </c>
      <c r="AL22" s="16">
        <f ca="1">IF(EB.Anwendung&lt;&gt;"",August!Monat.NB.Total,"")</f>
        <v>0</v>
      </c>
      <c r="AM22" s="16">
        <f ca="1">IF(EB.Anwendung&lt;&gt;"",August!Monat.DAG.Total,"")</f>
        <v>0</v>
      </c>
      <c r="AN22" s="321"/>
      <c r="AO22" s="16">
        <f ca="1">IF(EB.Anwendung&lt;&gt;"",August!Monat.ein_aus.Total,"")</f>
        <v>0</v>
      </c>
    </row>
    <row r="23" spans="1:45" s="38" customFormat="1" ht="15" customHeight="1" x14ac:dyDescent="0.2">
      <c r="A23" s="335" t="str">
        <f>INDEX(EB.Monate.Bereich,9,0)</f>
        <v>September</v>
      </c>
      <c r="B23" s="208"/>
      <c r="C23" s="20">
        <f t="shared" ca="1" si="0"/>
        <v>0</v>
      </c>
      <c r="D23" s="85">
        <f>IF(Eingabeblatt!H21="","-     ",Eingabeblatt!H21)</f>
        <v>100</v>
      </c>
      <c r="E23" s="20">
        <f ca="1">Eingabeblatt!I21</f>
        <v>7.5249999999999968</v>
      </c>
      <c r="F23" s="20">
        <f ca="1">IF(EB.Anwendung&lt;&gt;"",September!Monat.Soll_Ist_UeVM,"")</f>
        <v>-7.5249999999999968</v>
      </c>
      <c r="G23" s="20">
        <f t="shared" ca="1" si="1"/>
        <v>88.349999999999966</v>
      </c>
      <c r="H23" s="321"/>
      <c r="I23" s="16">
        <f ca="1">IF(EB.Anwendung&lt;&gt;"",September!Monat.AnUeZ.Total,"")</f>
        <v>0</v>
      </c>
      <c r="J23" s="16">
        <f ca="1">IF(EB.Anwendung&lt;&gt;"",September!Monat.KomUeZ.Total,"")</f>
        <v>0</v>
      </c>
      <c r="K23" s="16" t="str">
        <f ca="1">IF(IF(EB.Anwendung&lt;&gt;"",September!Monat.UeZ.Saldo,"")&lt;=0,"-     ",IF(EB.Anwendung&lt;&gt;"",September!Monat.UeZ.Saldo,""))</f>
        <v xml:space="preserve">-     </v>
      </c>
      <c r="L23" s="16" t="str">
        <f ca="1">IF(IF(EB.Anwendung&lt;&gt;"",September!Monat.ZS.Total,"")&lt;=0,"-     ",IF(EB.Anwendung&lt;&gt;"",September!Monat.ZS.Total,""))</f>
        <v xml:space="preserve">-     </v>
      </c>
      <c r="M23" s="16">
        <f ca="1">IF(EB.Anwendung&lt;&gt;"",September!Monat.UeZ.Total,"")</f>
        <v>0</v>
      </c>
      <c r="N23" s="135"/>
      <c r="O23" s="20">
        <f ca="1">IF(EB.Anwendung&lt;&gt;"",September!Monat.Soll_Ist_UeVM-September!Monat.AnUeZ.Total,"")</f>
        <v>-7.5249999999999968</v>
      </c>
      <c r="P23" s="16">
        <f ca="1">IF(EB.Anwendung&lt;&gt;"",September!Monat.KomAZ.Total,"")</f>
        <v>0</v>
      </c>
      <c r="Q23" s="212"/>
      <c r="R23" s="82" t="str">
        <f ca="1">IF(EB.Anwendung&lt;&gt;"",September!Monat.Pikett.Zähler,"")</f>
        <v>0 / 0 / 0</v>
      </c>
      <c r="S23" s="16">
        <f ca="1">IF(EB.Anwendung&lt;&gt;"",September!Monat.ein_aus_Pikett.Total,"")</f>
        <v>0</v>
      </c>
      <c r="T23" s="16">
        <f ca="1">IF(EB.Anwendung&lt;&gt;"",September!Monat.ND.Total,"")</f>
        <v>0</v>
      </c>
      <c r="U23" s="82">
        <f ca="1">IF(EB.Anwendung&lt;&gt;"",September!Monat.ZählerND.Total,"")</f>
        <v>0</v>
      </c>
      <c r="V23" s="16">
        <f ca="1">IF(EB.Anwendung&lt;&gt;"",September!Monat.ZZSND.Total,"")</f>
        <v>0</v>
      </c>
      <c r="W23" s="16">
        <f ca="1">IF(EB.Anwendung&lt;&gt;"",September!Monat.KompZZSND.Total,"")</f>
        <v>0</v>
      </c>
      <c r="X23" s="16">
        <f ca="1">IF(EB.Anwendung&lt;&gt;"",September!Monat.ZZNdUe,"")</f>
        <v>0</v>
      </c>
      <c r="Y23" s="16">
        <f ca="1">IF(EB.Anwendung&lt;&gt;"",September!Monat.Abendarbeit.Total,"")</f>
        <v>0</v>
      </c>
      <c r="Z23" s="16">
        <f ca="1">IF(EB.Anwendung&lt;&gt;"",September!Monat.BD.Total,"")</f>
        <v>0</v>
      </c>
      <c r="AA23" s="16">
        <f ca="1">IF(EB.Anwendung&lt;&gt;"",September!Monat.SD.Total,"")</f>
        <v>0</v>
      </c>
      <c r="AB23" s="208"/>
      <c r="AC23" s="16">
        <f ca="1">IF(IF(EB.Anwendung&lt;&gt;"",September!Monat.FerienKor.Total,"")="+",IF(EB.Anwendung&lt;&gt;"",September!Monat.Ferien.Total,"")-IF(EB.Anwendung&lt;&gt;"",September!Monat.FerienKor.Total,""),IF(EB.Anwendung&lt;&gt;"",September!Monat.Ferien.Total,"")+IF(EB.Anwendung&lt;&gt;"",September!Monat.FerienKor.Total,""))</f>
        <v>0</v>
      </c>
      <c r="AD23" s="16">
        <f ca="1">IF(EB.Anwendung&lt;&gt;"",September!Monat.AB.Total,"")</f>
        <v>0</v>
      </c>
      <c r="AE23" s="16">
        <f ca="1">IF(EB.Anwendung&lt;&gt;"",September!Monat.Krank.Total,"")</f>
        <v>0</v>
      </c>
      <c r="AF23" s="16">
        <f ca="1">IF(EB.Anwendung&lt;&gt;"",September!Monat.BU.Total,"")</f>
        <v>0</v>
      </c>
      <c r="AG23" s="16">
        <f ca="1">IF(EB.Anwendung&lt;&gt;"",September!Monat.NBU.Total,"")</f>
        <v>0</v>
      </c>
      <c r="AH23" s="16">
        <f ca="1">IF(EB.Anwendung&lt;&gt;"",September!Monat.Militaer.Total,"")</f>
        <v>0</v>
      </c>
      <c r="AI23" s="16">
        <f ca="1">IF(EB.Anwendung&lt;&gt;"",September!Monat.WB.Total,"")</f>
        <v>0</v>
      </c>
      <c r="AJ23" s="16">
        <f ca="1">IF(EB.Anwendung&lt;&gt;"",September!Monat.BesU.Total,"")</f>
        <v>0</v>
      </c>
      <c r="AK23" s="16">
        <f ca="1">IF(EB.Anwendung&lt;&gt;"",September!Monat.UnbesU.Total,"")</f>
        <v>0</v>
      </c>
      <c r="AL23" s="16">
        <f ca="1">IF(EB.Anwendung&lt;&gt;"",September!Monat.NB.Total,"")</f>
        <v>0</v>
      </c>
      <c r="AM23" s="16">
        <f ca="1">IF(EB.Anwendung&lt;&gt;"",September!Monat.DAG.Total,"")</f>
        <v>0</v>
      </c>
      <c r="AN23" s="321"/>
      <c r="AO23" s="16">
        <f ca="1">IF(EB.Anwendung&lt;&gt;"",September!Monat.ein_aus.Total,"")</f>
        <v>0</v>
      </c>
    </row>
    <row r="24" spans="1:45" s="38" customFormat="1" ht="15" customHeight="1" x14ac:dyDescent="0.2">
      <c r="A24" s="335" t="str">
        <f>INDEX(EB.Monate.Bereich,10,0)</f>
        <v>Oktober</v>
      </c>
      <c r="B24" s="208"/>
      <c r="C24" s="20">
        <f t="shared" ca="1" si="0"/>
        <v>0</v>
      </c>
      <c r="D24" s="85">
        <f>IF(Eingabeblatt!H22="","-     ",Eingabeblatt!H22)</f>
        <v>100</v>
      </c>
      <c r="E24" s="20">
        <f ca="1">Eingabeblatt!I22</f>
        <v>7.349999999999997</v>
      </c>
      <c r="F24" s="20">
        <f ca="1">IF(EB.Anwendung&lt;&gt;"",Oktober!Monat.Soll_Ist_UeVM,"")</f>
        <v>-7.349999999999997</v>
      </c>
      <c r="G24" s="20">
        <f t="shared" ca="1" si="1"/>
        <v>88.349999999999966</v>
      </c>
      <c r="H24" s="321"/>
      <c r="I24" s="16">
        <f ca="1">IF(EB.Anwendung&lt;&gt;"",Oktober!Monat.AnUeZ.Total,"")</f>
        <v>0</v>
      </c>
      <c r="J24" s="16">
        <f ca="1">IF(EB.Anwendung&lt;&gt;"",Oktober!Monat.KomUeZ.Total,"")</f>
        <v>0</v>
      </c>
      <c r="K24" s="16" t="str">
        <f ca="1">IF(IF(EB.Anwendung&lt;&gt;"",Oktober!Monat.UeZ.Saldo,"")&lt;=0,"-     ",IF(EB.Anwendung&lt;&gt;"",Oktober!Monat.UeZ.Saldo,""))</f>
        <v xml:space="preserve">-     </v>
      </c>
      <c r="L24" s="16" t="str">
        <f ca="1">IF(IF(EB.Anwendung&lt;&gt;"",Oktober!Monat.ZS.Total,"")&lt;=0,"-     ",IF(EB.Anwendung&lt;&gt;"",Oktober!Monat.ZS.Total,""))</f>
        <v xml:space="preserve">-     </v>
      </c>
      <c r="M24" s="16">
        <f ca="1">IF(EB.Anwendung&lt;&gt;"",Oktober!Monat.UeZ.Total,"")</f>
        <v>0</v>
      </c>
      <c r="N24" s="135"/>
      <c r="O24" s="20">
        <f ca="1">IF(EB.Anwendung&lt;&gt;"",Oktober!Monat.Soll_Ist_UeVM-Oktober!Monat.AnUeZ.Total,"")</f>
        <v>-7.349999999999997</v>
      </c>
      <c r="P24" s="16">
        <f ca="1">IF(EB.Anwendung&lt;&gt;"",Oktober!Monat.KomAZ.Total,"")</f>
        <v>0</v>
      </c>
      <c r="Q24" s="212"/>
      <c r="R24" s="82" t="str">
        <f ca="1">IF(EB.Anwendung&lt;&gt;"",Oktober!Monat.Pikett.Zähler,"")</f>
        <v>0 / 0 / 0</v>
      </c>
      <c r="S24" s="16">
        <f ca="1">IF(EB.Anwendung&lt;&gt;"",Oktober!Monat.ein_aus_Pikett.Total,"")</f>
        <v>0</v>
      </c>
      <c r="T24" s="16">
        <f ca="1">IF(EB.Anwendung&lt;&gt;"",Oktober!Monat.ND.Total,"")</f>
        <v>0</v>
      </c>
      <c r="U24" s="82">
        <f ca="1">IF(EB.Anwendung&lt;&gt;"",Oktober!Monat.ZählerND.Total,"")</f>
        <v>0</v>
      </c>
      <c r="V24" s="16">
        <f ca="1">IF(EB.Anwendung&lt;&gt;"",Oktober!Monat.ZZSND.Total,"")</f>
        <v>0</v>
      </c>
      <c r="W24" s="16">
        <f ca="1">IF(EB.Anwendung&lt;&gt;"",Oktober!Monat.KompZZSND.Total,"")</f>
        <v>0</v>
      </c>
      <c r="X24" s="16">
        <f ca="1">IF(EB.Anwendung&lt;&gt;"",Oktober!Monat.ZZNdUe,"")</f>
        <v>0</v>
      </c>
      <c r="Y24" s="16">
        <f ca="1">IF(EB.Anwendung&lt;&gt;"",Oktober!Monat.Abendarbeit.Total,"")</f>
        <v>0</v>
      </c>
      <c r="Z24" s="16">
        <f ca="1">IF(EB.Anwendung&lt;&gt;"",Oktober!Monat.BD.Total,"")</f>
        <v>0</v>
      </c>
      <c r="AA24" s="16">
        <f ca="1">IF(EB.Anwendung&lt;&gt;"",Oktober!Monat.SD.Total,"")</f>
        <v>0</v>
      </c>
      <c r="AB24" s="208"/>
      <c r="AC24" s="16">
        <f ca="1">IF(IF(EB.Anwendung&lt;&gt;"",Oktober!Monat.FerienKor.Total,"")="+",IF(EB.Anwendung&lt;&gt;"",Oktober!Monat.Ferien.Total,"")-IF(EB.Anwendung&lt;&gt;"",Oktober!Monat.FerienKor.Total,""),IF(EB.Anwendung&lt;&gt;"",Oktober!Monat.Ferien.Total,"")+IF(EB.Anwendung&lt;&gt;"",Oktober!Monat.FerienKor.Total,""))</f>
        <v>0</v>
      </c>
      <c r="AD24" s="16">
        <f ca="1">IF(EB.Anwendung&lt;&gt;"",Oktober!Monat.AB.Total,"")</f>
        <v>0</v>
      </c>
      <c r="AE24" s="16">
        <f ca="1">IF(EB.Anwendung&lt;&gt;"",Oktober!Monat.Krank.Total,"")</f>
        <v>0</v>
      </c>
      <c r="AF24" s="16">
        <f ca="1">IF(EB.Anwendung&lt;&gt;"",Oktober!Monat.BU.Total,"")</f>
        <v>0</v>
      </c>
      <c r="AG24" s="16">
        <f ca="1">IF(EB.Anwendung&lt;&gt;"",Oktober!Monat.NBU.Total,"")</f>
        <v>0</v>
      </c>
      <c r="AH24" s="16">
        <f ca="1">IF(EB.Anwendung&lt;&gt;"",Oktober!Monat.Militaer.Total,"")</f>
        <v>0</v>
      </c>
      <c r="AI24" s="16">
        <f ca="1">IF(EB.Anwendung&lt;&gt;"",Oktober!Monat.WB.Total,"")</f>
        <v>0</v>
      </c>
      <c r="AJ24" s="16">
        <f ca="1">IF(EB.Anwendung&lt;&gt;"",Oktober!Monat.BesU.Total,"")</f>
        <v>0</v>
      </c>
      <c r="AK24" s="16">
        <f ca="1">IF(EB.Anwendung&lt;&gt;"",Oktober!Monat.UnbesU.Total,"")</f>
        <v>0</v>
      </c>
      <c r="AL24" s="16">
        <f ca="1">IF(EB.Anwendung&lt;&gt;"",Oktober!Monat.NB.Total,"")</f>
        <v>0</v>
      </c>
      <c r="AM24" s="16">
        <f ca="1">IF(EB.Anwendung&lt;&gt;"",Oktober!Monat.DAG.Total,"")</f>
        <v>0</v>
      </c>
      <c r="AN24" s="321"/>
      <c r="AO24" s="16">
        <f ca="1">IF(EB.Anwendung&lt;&gt;"",Oktober!Monat.ein_aus.Total,"")</f>
        <v>0</v>
      </c>
    </row>
    <row r="25" spans="1:45" s="38" customFormat="1" ht="15" customHeight="1" x14ac:dyDescent="0.2">
      <c r="A25" s="335" t="str">
        <f>INDEX(EB.Monate.Bereich,11,0)</f>
        <v>November</v>
      </c>
      <c r="B25" s="208"/>
      <c r="C25" s="20">
        <f t="shared" ca="1" si="0"/>
        <v>0</v>
      </c>
      <c r="D25" s="85">
        <f>IF(Eingabeblatt!H23="","-     ",Eingabeblatt!H23)</f>
        <v>100</v>
      </c>
      <c r="E25" s="20">
        <f ca="1">Eingabeblatt!I23</f>
        <v>7.6999999999999966</v>
      </c>
      <c r="F25" s="20">
        <f ca="1">IF(EB.Anwendung&lt;&gt;"",November!Monat.Soll_Ist_UeVM,"")</f>
        <v>-7.6999999999999966</v>
      </c>
      <c r="G25" s="20">
        <f t="shared" ca="1" si="1"/>
        <v>88.349999999999966</v>
      </c>
      <c r="H25" s="321"/>
      <c r="I25" s="16">
        <f ca="1">IF(EB.Anwendung&lt;&gt;"",November!Monat.AnUeZ.Total,"")</f>
        <v>0</v>
      </c>
      <c r="J25" s="16">
        <f ca="1">IF(EB.Anwendung&lt;&gt;"",November!Monat.KomUeZ.Total,"")</f>
        <v>0</v>
      </c>
      <c r="K25" s="16" t="str">
        <f ca="1">IF(IF(EB.Anwendung&lt;&gt;"",November!Monat.UeZ.Saldo,"")&lt;=0,"-     ",IF(EB.Anwendung&lt;&gt;"",November!Monat.UeZ.Saldo,""))</f>
        <v xml:space="preserve">-     </v>
      </c>
      <c r="L25" s="16" t="str">
        <f ca="1">IF(IF(EB.Anwendung&lt;&gt;"",November!Monat.ZS.Total,"")&lt;=0,"-     ",IF(EB.Anwendung&lt;&gt;"",November!Monat.ZS.Total,""))</f>
        <v xml:space="preserve">-     </v>
      </c>
      <c r="M25" s="16">
        <f ca="1">IF(EB.Anwendung&lt;&gt;"",November!Monat.UeZ.Total,"")</f>
        <v>0</v>
      </c>
      <c r="N25" s="135"/>
      <c r="O25" s="20">
        <f ca="1">IF(EB.Anwendung&lt;&gt;"",November!Monat.Soll_Ist_UeVM-November!Monat.AnUeZ.Total,"")</f>
        <v>-7.6999999999999966</v>
      </c>
      <c r="P25" s="16">
        <f ca="1">IF(EB.Anwendung&lt;&gt;"",November!Monat.KomAZ.Total,"")</f>
        <v>0</v>
      </c>
      <c r="Q25" s="212"/>
      <c r="R25" s="82" t="str">
        <f ca="1">IF(EB.Anwendung&lt;&gt;"",November!Monat.Pikett.Zähler,"")</f>
        <v>0 / 0 / 0</v>
      </c>
      <c r="S25" s="16">
        <f ca="1">IF(EB.Anwendung&lt;&gt;"",November!Monat.ein_aus_Pikett.Total,"")</f>
        <v>0</v>
      </c>
      <c r="T25" s="16">
        <f ca="1">IF(EB.Anwendung&lt;&gt;"",November!Monat.ND.Total,"")</f>
        <v>0</v>
      </c>
      <c r="U25" s="82">
        <f ca="1">IF(EB.Anwendung&lt;&gt;"",November!Monat.ZählerND.Total,"")</f>
        <v>0</v>
      </c>
      <c r="V25" s="16">
        <f ca="1">IF(EB.Anwendung&lt;&gt;"",November!Monat.ZZSND.Total,"")</f>
        <v>0</v>
      </c>
      <c r="W25" s="16">
        <f ca="1">IF(EB.Anwendung&lt;&gt;"",November!Monat.KompZZSND.Total,"")</f>
        <v>0</v>
      </c>
      <c r="X25" s="16">
        <f ca="1">IF(EB.Anwendung&lt;&gt;"",November!Monat.ZZNdUe,"")</f>
        <v>0</v>
      </c>
      <c r="Y25" s="16">
        <f ca="1">IF(EB.Anwendung&lt;&gt;"",November!Monat.Abendarbeit.Total,"")</f>
        <v>0</v>
      </c>
      <c r="Z25" s="16">
        <f ca="1">IF(EB.Anwendung&lt;&gt;"",November!Monat.BD.Total,"")</f>
        <v>0</v>
      </c>
      <c r="AA25" s="16">
        <f ca="1">IF(EB.Anwendung&lt;&gt;"",November!Monat.SD.Total,"")</f>
        <v>0</v>
      </c>
      <c r="AB25" s="208"/>
      <c r="AC25" s="16">
        <f ca="1">IF(IF(EB.Anwendung&lt;&gt;"",November!Monat.FerienKor.Total,"")="+",IF(EB.Anwendung&lt;&gt;"",November!Monat.Ferien.Total,"")-IF(EB.Anwendung&lt;&gt;"",November!Monat.FerienKor.Total,""),IF(EB.Anwendung&lt;&gt;"",November!Monat.Ferien.Total,"")+IF(EB.Anwendung&lt;&gt;"",November!Monat.FerienKor.Total,""))</f>
        <v>0</v>
      </c>
      <c r="AD25" s="16">
        <f ca="1">IF(EB.Anwendung&lt;&gt;"",November!Monat.AB.Total,"")</f>
        <v>0</v>
      </c>
      <c r="AE25" s="16">
        <f ca="1">IF(EB.Anwendung&lt;&gt;"",November!Monat.Krank.Total,"")</f>
        <v>0</v>
      </c>
      <c r="AF25" s="16">
        <f ca="1">IF(EB.Anwendung&lt;&gt;"",November!Monat.BU.Total,"")</f>
        <v>0</v>
      </c>
      <c r="AG25" s="16">
        <f ca="1">IF(EB.Anwendung&lt;&gt;"",November!Monat.NBU.Total,"")</f>
        <v>0</v>
      </c>
      <c r="AH25" s="16">
        <f ca="1">IF(EB.Anwendung&lt;&gt;"",November!Monat.Militaer.Total,"")</f>
        <v>0</v>
      </c>
      <c r="AI25" s="16">
        <f ca="1">IF(EB.Anwendung&lt;&gt;"",November!Monat.WB.Total,"")</f>
        <v>0</v>
      </c>
      <c r="AJ25" s="16">
        <f ca="1">IF(EB.Anwendung&lt;&gt;"",November!Monat.BesU.Total,"")</f>
        <v>0</v>
      </c>
      <c r="AK25" s="16">
        <f ca="1">IF(EB.Anwendung&lt;&gt;"",November!Monat.UnbesU.Total,"")</f>
        <v>0</v>
      </c>
      <c r="AL25" s="16">
        <f ca="1">IF(EB.Anwendung&lt;&gt;"",November!Monat.NB.Total,"")</f>
        <v>0</v>
      </c>
      <c r="AM25" s="16">
        <f ca="1">IF(EB.Anwendung&lt;&gt;"",November!Monat.DAG.Total,"")</f>
        <v>0</v>
      </c>
      <c r="AN25" s="321"/>
      <c r="AO25" s="16">
        <f ca="1">IF(EB.Anwendung&lt;&gt;"",November!Monat.ein_aus.Total,"")</f>
        <v>0</v>
      </c>
    </row>
    <row r="26" spans="1:45" s="38" customFormat="1" ht="15" customHeight="1" x14ac:dyDescent="0.2">
      <c r="A26" s="335" t="str">
        <f>INDEX(EB.Monate.Bereich,12,0)</f>
        <v>Dezember</v>
      </c>
      <c r="B26" s="208"/>
      <c r="C26" s="20">
        <f t="shared" ca="1" si="0"/>
        <v>0</v>
      </c>
      <c r="D26" s="85">
        <f>IF(Eingabeblatt!H24="","-     ",Eingabeblatt!H24)</f>
        <v>100</v>
      </c>
      <c r="E26" s="20">
        <f ca="1">Eingabeblatt!I24</f>
        <v>7.349999999999997</v>
      </c>
      <c r="F26" s="20">
        <f ca="1">IF(EB.Anwendung&lt;&gt;"",Dezember!Monat.Soll_Ist_UeVM,"")</f>
        <v>-7.349999999999997</v>
      </c>
      <c r="G26" s="20">
        <f t="shared" ca="1" si="1"/>
        <v>88.349999999999966</v>
      </c>
      <c r="H26" s="321"/>
      <c r="I26" s="16">
        <f ca="1">IF(EB.Anwendung&lt;&gt;"",Dezember!Monat.AnUeZ.Total,"")</f>
        <v>0</v>
      </c>
      <c r="J26" s="16">
        <f ca="1">IF(EB.Anwendung&lt;&gt;"",Dezember!Monat.KomUeZ.Total,"")</f>
        <v>0</v>
      </c>
      <c r="K26" s="16" t="str">
        <f ca="1">IF(IF(EB.Anwendung&lt;&gt;"",Dezember!Monat.UeZ.Saldo,"")&lt;=0,"-     ",IF(EB.Anwendung&lt;&gt;"",Dezember!Monat.UeZ.Saldo,""))</f>
        <v xml:space="preserve">-     </v>
      </c>
      <c r="L26" s="16" t="str">
        <f ca="1">IF(IF(EB.Anwendung&lt;&gt;"",Dezember!Monat.ZS.Total,"")&lt;=0,"-     ",IF(EB.Anwendung&lt;&gt;"",Dezember!Monat.ZS.Total,""))</f>
        <v xml:space="preserve">-     </v>
      </c>
      <c r="M26" s="16">
        <f ca="1">IF(EB.Anwendung&lt;&gt;"",Dezember!Monat.UeZ.Total,"")</f>
        <v>0</v>
      </c>
      <c r="N26" s="135"/>
      <c r="O26" s="20">
        <f ca="1">IF(EB.Anwendung&lt;&gt;"",Dezember!Monat.Soll_Ist_UeVM-Dezember!Monat.AnUeZ.Total,"")</f>
        <v>-7.349999999999997</v>
      </c>
      <c r="P26" s="16">
        <f ca="1">IF(EB.Anwendung&lt;&gt;"",Dezember!Monat.KomAZ.Total,"")</f>
        <v>0</v>
      </c>
      <c r="Q26" s="212"/>
      <c r="R26" s="82" t="str">
        <f ca="1">IF(EB.Anwendung&lt;&gt;"",Dezember!Monat.Pikett.Zähler,"")</f>
        <v>0 / 0 / 0</v>
      </c>
      <c r="S26" s="16">
        <f ca="1">IF(EB.Anwendung&lt;&gt;"",Dezember!Monat.ein_aus_Pikett.Total,"")</f>
        <v>0</v>
      </c>
      <c r="T26" s="16">
        <f ca="1">IF(EB.Anwendung&lt;&gt;"",Dezember!Monat.ND.Total,"")</f>
        <v>0</v>
      </c>
      <c r="U26" s="82">
        <f ca="1">IF(EB.Anwendung&lt;&gt;"",Dezember!Monat.ZählerND.Total,"")</f>
        <v>0</v>
      </c>
      <c r="V26" s="16">
        <f ca="1">IF(EB.Anwendung&lt;&gt;"",Dezember!Monat.ZZSND.Total,"")</f>
        <v>0</v>
      </c>
      <c r="W26" s="16">
        <f ca="1">IF(EB.Anwendung&lt;&gt;"",Dezember!Monat.KompZZSND.Total,"")</f>
        <v>0</v>
      </c>
      <c r="X26" s="16">
        <f ca="1">IF(EB.Anwendung&lt;&gt;"",Dezember!Monat.ZZNdUe,"")</f>
        <v>0</v>
      </c>
      <c r="Y26" s="16">
        <f ca="1">IF(EB.Anwendung&lt;&gt;"",Dezember!Monat.Abendarbeit.Total,"")</f>
        <v>0</v>
      </c>
      <c r="Z26" s="16">
        <f ca="1">IF(EB.Anwendung&lt;&gt;"",Dezember!Monat.BD.Total,"")</f>
        <v>0</v>
      </c>
      <c r="AA26" s="16">
        <f ca="1">IF(EB.Anwendung&lt;&gt;"",Dezember!Monat.SD.Total,"")</f>
        <v>0</v>
      </c>
      <c r="AB26" s="208"/>
      <c r="AC26" s="16">
        <f ca="1">IF(IF(EB.Anwendung&lt;&gt;"",Dezember!Monat.FerienKor.Total,"")="+",IF(EB.Anwendung&lt;&gt;"",Dezember!Monat.Ferien.Total,"")-IF(EB.Anwendung&lt;&gt;"",Dezember!Monat.FerienKor.Total,""),IF(EB.Anwendung&lt;&gt;"",Dezember!Monat.Ferien.Total,"")+IF(EB.Anwendung&lt;&gt;"",Dezember!Monat.FerienKor.Total,""))</f>
        <v>0</v>
      </c>
      <c r="AD26" s="16">
        <f ca="1">IF(EB.Anwendung&lt;&gt;"",Dezember!Monat.AB.Total,"")</f>
        <v>0</v>
      </c>
      <c r="AE26" s="16">
        <f ca="1">IF(EB.Anwendung&lt;&gt;"",Dezember!Monat.Krank.Total,"")</f>
        <v>0</v>
      </c>
      <c r="AF26" s="16">
        <f ca="1">IF(EB.Anwendung&lt;&gt;"",Dezember!Monat.BU.Total,"")</f>
        <v>0</v>
      </c>
      <c r="AG26" s="16">
        <f ca="1">IF(EB.Anwendung&lt;&gt;"",Dezember!Monat.NBU.Total,"")</f>
        <v>0</v>
      </c>
      <c r="AH26" s="16">
        <f ca="1">IF(EB.Anwendung&lt;&gt;"",Dezember!Monat.Militaer.Total,"")</f>
        <v>0</v>
      </c>
      <c r="AI26" s="16">
        <f ca="1">IF(EB.Anwendung&lt;&gt;"",Dezember!Monat.WB.Total,"")</f>
        <v>0</v>
      </c>
      <c r="AJ26" s="16">
        <f ca="1">IF(EB.Anwendung&lt;&gt;"",Dezember!Monat.BesU.Total,"")</f>
        <v>0</v>
      </c>
      <c r="AK26" s="16">
        <f ca="1">IF(EB.Anwendung&lt;&gt;"",Dezember!Monat.UnbesU.Total,"")</f>
        <v>0</v>
      </c>
      <c r="AL26" s="16">
        <f ca="1">IF(EB.Anwendung&lt;&gt;"",Dezember!Monat.NB.Total,"")</f>
        <v>0</v>
      </c>
      <c r="AM26" s="16">
        <f ca="1">IF(EB.Anwendung&lt;&gt;"",Dezember!Monat.DAG.Total,"")</f>
        <v>0</v>
      </c>
      <c r="AN26" s="321"/>
      <c r="AO26" s="16">
        <f ca="1">IF(EB.Anwendung&lt;&gt;"",Dezember!Monat.ein_aus.Total,"")</f>
        <v>0</v>
      </c>
    </row>
    <row r="27" spans="1:45" s="38" customFormat="1" ht="15" customHeight="1" x14ac:dyDescent="0.2">
      <c r="A27" s="214" t="s">
        <v>38</v>
      </c>
      <c r="B27" s="135"/>
      <c r="C27" s="336">
        <f ca="1">SUM(C15:C26)</f>
        <v>0</v>
      </c>
      <c r="D27" s="337">
        <f ca="1">EB.BG_Total</f>
        <v>100</v>
      </c>
      <c r="E27" s="336">
        <f ca="1">SUM(E15:E26)</f>
        <v>88.349999999999966</v>
      </c>
      <c r="F27" s="336">
        <f ca="1">SUM(F15:F26)</f>
        <v>-88.349999999999966</v>
      </c>
      <c r="G27" s="190"/>
      <c r="H27" s="135"/>
      <c r="I27" s="336">
        <f ca="1">SUM(I15:I26)</f>
        <v>0</v>
      </c>
      <c r="J27" s="336">
        <f ca="1">SUM(J15:J26)</f>
        <v>0</v>
      </c>
      <c r="K27" s="336">
        <f ca="1">SUM(K15:K26)</f>
        <v>0</v>
      </c>
      <c r="L27" s="336">
        <f ca="1">SUM(L15:L26)</f>
        <v>0</v>
      </c>
      <c r="M27" s="336">
        <f ca="1">SUM(M15:M26)</f>
        <v>0</v>
      </c>
      <c r="N27" s="135"/>
      <c r="O27" s="336">
        <f ca="1">SUM(O15:O26)</f>
        <v>-88.349999999999966</v>
      </c>
      <c r="P27" s="336">
        <f ca="1">SUM(P15:P26)</f>
        <v>0</v>
      </c>
      <c r="Q27" s="135"/>
      <c r="R27" s="338" t="str">
        <f ca="1">LEFT(R15,2)+LEFT(R16,2)+LEFT(R17,2)+LEFT(R18,2)+LEFT(R19,2)+LEFT(R20,2)+LEFT(R21,2)+LEFT(R22,2)+LEFT(R23,2)+LEFT(R24,2)+LEFT(R25,2)+LEFT(R26,2)&amp; " / "&amp;MID(R15,FIND("/",R15)+2,2)+MID(R16,FIND("/",R16)+2,2)+MID(R17,FIND("/",R17)+2,2)+MID(R18,FIND("/",R18)+2,2)+MID(R19,FIND("/",R19)+2,2)+MID(R20,FIND("/",R20)+2,2)+MID(R21,FIND("/",R21)+2,2)+MID(R22,FIND("/",R22)+2,2)+MID(R23,FIND("/",R23)+2,2)+MID(R24,FIND("/",R24)+2,2)+MID(R25,FIND("/",R25)+2,2)+MID(R26,FIND("/",R26)+2,2)&amp; " / "&amp;RIGHT(R15,2)+RIGHT(R16,2)+RIGHT(R17,2)+RIGHT(R18,2)+RIGHT(R19,2)+RIGHT(R20,2)+RIGHT(R21,2)+RIGHT(R22,2)+RIGHT(R23,2)+RIGHT(R24,2)+RIGHT(R25,2)+RIGHT(R26,2)</f>
        <v>0 / 0 / 0</v>
      </c>
      <c r="S27" s="336">
        <f ca="1">SUM(S15:S26)</f>
        <v>0</v>
      </c>
      <c r="T27" s="336">
        <f ca="1">SUM(T15:T26)</f>
        <v>0</v>
      </c>
      <c r="U27" s="339">
        <f ca="1">SUM(U15:U26)</f>
        <v>0</v>
      </c>
      <c r="V27" s="336">
        <f t="shared" ref="V27:Y27" ca="1" si="2">SUM(V15:V26)</f>
        <v>0</v>
      </c>
      <c r="W27" s="336">
        <f ca="1">SUM(W15:W26)</f>
        <v>0</v>
      </c>
      <c r="X27" s="336">
        <f ca="1">X26</f>
        <v>0</v>
      </c>
      <c r="Y27" s="336">
        <f t="shared" ca="1" si="2"/>
        <v>0</v>
      </c>
      <c r="Z27" s="336">
        <f ca="1">SUM(Z15:Z26)</f>
        <v>0</v>
      </c>
      <c r="AA27" s="336">
        <f ca="1">SUM(AA15:AA26)</f>
        <v>0</v>
      </c>
      <c r="AB27" s="135"/>
      <c r="AC27" s="336">
        <f ca="1">SUM(AC15:AC26)</f>
        <v>0</v>
      </c>
      <c r="AD27" s="336">
        <f t="shared" ref="AD27:AK27" ca="1" si="3">SUM(AD15:AD26)</f>
        <v>0</v>
      </c>
      <c r="AE27" s="336">
        <f t="shared" ca="1" si="3"/>
        <v>0</v>
      </c>
      <c r="AF27" s="336">
        <f t="shared" ca="1" si="3"/>
        <v>0</v>
      </c>
      <c r="AG27" s="336">
        <f t="shared" ca="1" si="3"/>
        <v>0</v>
      </c>
      <c r="AH27" s="336">
        <f t="shared" ca="1" si="3"/>
        <v>0</v>
      </c>
      <c r="AI27" s="336">
        <f t="shared" ca="1" si="3"/>
        <v>0</v>
      </c>
      <c r="AJ27" s="336">
        <f t="shared" ca="1" si="3"/>
        <v>0</v>
      </c>
      <c r="AK27" s="336">
        <f t="shared" ca="1" si="3"/>
        <v>0</v>
      </c>
      <c r="AL27" s="336">
        <f t="shared" ref="AL27:AM27" ca="1" si="4">SUM(AL15:AL26)</f>
        <v>0</v>
      </c>
      <c r="AM27" s="336">
        <f t="shared" ca="1" si="4"/>
        <v>0</v>
      </c>
      <c r="AN27" s="135"/>
      <c r="AO27" s="336">
        <f t="shared" ref="AO27" ca="1" si="5">SUM(AO15:AO26)</f>
        <v>0</v>
      </c>
    </row>
    <row r="28" spans="1:45" s="38" customFormat="1" ht="15" customHeight="1" x14ac:dyDescent="0.2">
      <c r="A28" s="214" t="s">
        <v>20</v>
      </c>
      <c r="B28" s="135"/>
      <c r="C28" s="225"/>
      <c r="D28" s="135"/>
      <c r="E28" s="225"/>
      <c r="F28" s="225"/>
      <c r="G28" s="190"/>
      <c r="H28" s="135"/>
      <c r="I28" s="249"/>
      <c r="J28" s="249"/>
      <c r="K28" s="249"/>
      <c r="L28" s="340"/>
      <c r="M28" s="336">
        <f ca="1">M13+J.UeZ.Total</f>
        <v>0</v>
      </c>
      <c r="N28" s="135"/>
      <c r="O28" s="336">
        <f ca="1">O13+O27</f>
        <v>-88.349999999999966</v>
      </c>
      <c r="P28" s="341">
        <f ca="1">P12-P27</f>
        <v>5.25</v>
      </c>
      <c r="Q28" s="135"/>
      <c r="R28" s="249"/>
      <c r="S28" s="249"/>
      <c r="T28" s="249"/>
      <c r="U28" s="342"/>
      <c r="V28" s="249"/>
      <c r="W28" s="249"/>
      <c r="X28" s="249"/>
      <c r="Y28" s="249"/>
      <c r="Z28" s="249"/>
      <c r="AA28" s="249"/>
      <c r="AB28" s="135"/>
      <c r="AC28" s="341">
        <f ca="1">AC12+AC13-AC27</f>
        <v>0</v>
      </c>
      <c r="AD28" s="343"/>
      <c r="AE28" s="249"/>
      <c r="AF28" s="249"/>
      <c r="AG28" s="249"/>
      <c r="AH28" s="249"/>
      <c r="AI28" s="249"/>
      <c r="AJ28" s="249"/>
      <c r="AK28" s="249"/>
      <c r="AL28" s="340"/>
      <c r="AM28" s="341">
        <f ca="1">SUM(AM12:AM13)-AM27</f>
        <v>0</v>
      </c>
      <c r="AN28" s="135"/>
      <c r="AO28" s="225"/>
    </row>
    <row r="29" spans="1:45" s="41" customFormat="1" ht="30" customHeight="1" x14ac:dyDescent="0.2">
      <c r="A29" s="344" t="s">
        <v>21</v>
      </c>
      <c r="B29" s="345"/>
      <c r="C29" s="345"/>
      <c r="D29" s="345"/>
      <c r="E29" s="345"/>
      <c r="F29" s="345"/>
      <c r="G29" s="294"/>
      <c r="H29" s="345"/>
      <c r="I29" s="346"/>
      <c r="J29" s="346"/>
      <c r="K29" s="346"/>
      <c r="L29" s="346"/>
      <c r="M29" s="58">
        <f ca="1">M28</f>
        <v>0</v>
      </c>
      <c r="N29" s="345"/>
      <c r="O29" s="58">
        <f ca="1">O28</f>
        <v>-88.349999999999966</v>
      </c>
      <c r="P29" s="346"/>
      <c r="Q29" s="345"/>
      <c r="R29" s="346"/>
      <c r="S29" s="346"/>
      <c r="T29" s="346"/>
      <c r="U29" s="346"/>
      <c r="V29" s="346"/>
      <c r="W29" s="346"/>
      <c r="X29" s="84">
        <f ca="1">Jahr.ZZSNDSaldo</f>
        <v>0</v>
      </c>
      <c r="Y29" s="346"/>
      <c r="Z29" s="346"/>
      <c r="AA29" s="346"/>
      <c r="AB29" s="345"/>
      <c r="AC29" s="58">
        <f ca="1">AC28</f>
        <v>0</v>
      </c>
      <c r="AD29" s="437" t="str">
        <f ca="1">IFERROR(IF(J.FerienUE.Total&gt;T.BWFFeriensaldo,IF(EB.Sprache="EN","This vacation carryover has to be approved.","Dieser Feriensaldo ist bewilligungspflichtig."),""),"")</f>
        <v/>
      </c>
      <c r="AE29" s="346"/>
      <c r="AF29" s="346"/>
      <c r="AG29" s="346"/>
      <c r="AH29" s="346"/>
      <c r="AI29" s="346"/>
      <c r="AJ29" s="346"/>
      <c r="AK29" s="346"/>
      <c r="AL29" s="346"/>
      <c r="AM29" s="58">
        <f ca="1">AM28</f>
        <v>0</v>
      </c>
      <c r="AN29" s="345"/>
      <c r="AO29" s="345"/>
    </row>
    <row r="30" spans="1:45" s="38" customFormat="1" ht="15" customHeight="1" x14ac:dyDescent="0.2">
      <c r="A30" s="105"/>
      <c r="B30" s="118"/>
      <c r="C30" s="118"/>
      <c r="D30" s="118"/>
      <c r="E30" s="118"/>
      <c r="F30" s="118"/>
      <c r="G30" s="187"/>
      <c r="H30" s="118"/>
      <c r="I30" s="118"/>
      <c r="J30" s="118"/>
      <c r="K30" s="118"/>
      <c r="L30" s="118"/>
      <c r="M30" s="118"/>
      <c r="N30" s="191" t="str">
        <f ca="1">IF(AND(EB.LKgr16=INDEX(T.JaNein.Bereich,1,1),EB.ÜZZSBerechtigt=INDEX(T.JaNein.Bereich,1,1)),IF(EB.Sprache="DE","Summe ÜZ+RAZ:","Total OT+SH:"),"")</f>
        <v/>
      </c>
      <c r="O30" s="57" t="str">
        <f ca="1">IF(AND(EB.LKgr16=INDEX(T.JaNein.Bereich,1,1),EB.ÜZZSBerechtigt=INDEX(T.JaNein.Bereich,1,1)),Jahr.UeziZSUE.Total+J.MMSUE.Total,"")</f>
        <v/>
      </c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S30" s="54"/>
    </row>
    <row r="31" spans="1:45" s="38" customFormat="1" ht="15" customHeight="1" x14ac:dyDescent="0.2">
      <c r="A31" s="214" t="s">
        <v>156</v>
      </c>
      <c r="B31" s="135"/>
      <c r="C31" s="336">
        <f ca="1">SUM(C15:C20)</f>
        <v>0</v>
      </c>
      <c r="D31" s="345"/>
      <c r="E31" s="336">
        <f ca="1">SUM(E15:E20)</f>
        <v>43.374999999999986</v>
      </c>
      <c r="F31" s="336">
        <f ca="1">SUM(F15:F20)</f>
        <v>-43.374999999999986</v>
      </c>
      <c r="G31" s="190"/>
      <c r="H31" s="135"/>
      <c r="I31" s="336">
        <f t="shared" ref="I31:M31" ca="1" si="6">SUM(I15:I20)</f>
        <v>0</v>
      </c>
      <c r="J31" s="336">
        <f t="shared" ca="1" si="6"/>
        <v>0</v>
      </c>
      <c r="K31" s="336">
        <f t="shared" ca="1" si="6"/>
        <v>0</v>
      </c>
      <c r="L31" s="336">
        <f t="shared" ca="1" si="6"/>
        <v>0</v>
      </c>
      <c r="M31" s="336">
        <f t="shared" ca="1" si="6"/>
        <v>0</v>
      </c>
      <c r="N31" s="135"/>
      <c r="O31" s="336">
        <f ca="1">SUM(O15:O20)</f>
        <v>-43.374999999999986</v>
      </c>
      <c r="P31" s="336">
        <f ca="1">SUM(P15:P20)</f>
        <v>0</v>
      </c>
      <c r="Q31" s="135"/>
      <c r="R31" s="338" t="str">
        <f ca="1">LEFT(R15,2)+LEFT(R16,2)+LEFT(R17,2)+LEFT(R18,2)+LEFT(R19,2)+LEFT(R20,2)&amp; " / "&amp;MID(R15,FIND("/",R15)+2,2)+MID(R16,FIND("/",R16)+2,2)+MID(R17,FIND("/",R17)+2,2)+MID(R18,FIND("/",R18)+2,2)+MID(R19,FIND("/",R19)+2,2)+MID(R20,FIND("/",R20)+2,2)&amp; " / "&amp;RIGHT(R15,2)+RIGHT(R16,2)+RIGHT(R17,2)+RIGHT(R18,2)+RIGHT(R19,2)+RIGHT(R20,2)</f>
        <v>0 / 0 / 0</v>
      </c>
      <c r="S31" s="336">
        <f ca="1">SUM(S15:S20)</f>
        <v>0</v>
      </c>
      <c r="T31" s="336">
        <f ca="1">SUM(T15:T20)</f>
        <v>0</v>
      </c>
      <c r="U31" s="339">
        <f t="shared" ref="U31:Y31" ca="1" si="7">SUM(U15:U20)</f>
        <v>0</v>
      </c>
      <c r="V31" s="336">
        <f t="shared" ca="1" si="7"/>
        <v>0</v>
      </c>
      <c r="W31" s="336">
        <f ca="1">SUM(W15:W20)</f>
        <v>0</v>
      </c>
      <c r="X31" s="336">
        <f ca="1">X20</f>
        <v>0</v>
      </c>
      <c r="Y31" s="336">
        <f t="shared" ca="1" si="7"/>
        <v>0</v>
      </c>
      <c r="Z31" s="336">
        <f ca="1">SUM(Z15:Z20)</f>
        <v>0</v>
      </c>
      <c r="AA31" s="336">
        <f ca="1">SUM(AA15:AA20)</f>
        <v>0</v>
      </c>
      <c r="AB31" s="135"/>
      <c r="AC31" s="336">
        <f t="shared" ref="AC31:AM31" ca="1" si="8">SUM(AC15:AC20)</f>
        <v>0</v>
      </c>
      <c r="AD31" s="336">
        <f t="shared" ca="1" si="8"/>
        <v>0</v>
      </c>
      <c r="AE31" s="336">
        <f t="shared" ca="1" si="8"/>
        <v>0</v>
      </c>
      <c r="AF31" s="336">
        <f t="shared" ca="1" si="8"/>
        <v>0</v>
      </c>
      <c r="AG31" s="336">
        <f t="shared" ca="1" si="8"/>
        <v>0</v>
      </c>
      <c r="AH31" s="336">
        <f t="shared" ca="1" si="8"/>
        <v>0</v>
      </c>
      <c r="AI31" s="336">
        <f t="shared" ca="1" si="8"/>
        <v>0</v>
      </c>
      <c r="AJ31" s="336">
        <f t="shared" ca="1" si="8"/>
        <v>0</v>
      </c>
      <c r="AK31" s="336">
        <f t="shared" ca="1" si="8"/>
        <v>0</v>
      </c>
      <c r="AL31" s="336">
        <f t="shared" ca="1" si="8"/>
        <v>0</v>
      </c>
      <c r="AM31" s="336">
        <f t="shared" ca="1" si="8"/>
        <v>0</v>
      </c>
      <c r="AN31" s="135"/>
      <c r="AO31" s="336">
        <f t="shared" ref="AO31" ca="1" si="9">SUM(AO15:AO20)</f>
        <v>0</v>
      </c>
    </row>
    <row r="32" spans="1:45" s="38" customFormat="1" ht="15" customHeight="1" x14ac:dyDescent="0.2">
      <c r="A32" s="214" t="s">
        <v>157</v>
      </c>
      <c r="B32" s="135"/>
      <c r="C32" s="336">
        <f ca="1">SUM(C21:C26)</f>
        <v>0</v>
      </c>
      <c r="D32" s="345"/>
      <c r="E32" s="336">
        <f ca="1">SUM(E21:E26)</f>
        <v>44.97499999999998</v>
      </c>
      <c r="F32" s="336">
        <f ca="1">SUM(F21:F26)</f>
        <v>-44.97499999999998</v>
      </c>
      <c r="G32" s="190"/>
      <c r="H32" s="135"/>
      <c r="I32" s="336">
        <f t="shared" ref="I32:M32" ca="1" si="10">SUM(I21:I26)</f>
        <v>0</v>
      </c>
      <c r="J32" s="336">
        <f t="shared" ca="1" si="10"/>
        <v>0</v>
      </c>
      <c r="K32" s="336">
        <f t="shared" ca="1" si="10"/>
        <v>0</v>
      </c>
      <c r="L32" s="336">
        <f t="shared" ca="1" si="10"/>
        <v>0</v>
      </c>
      <c r="M32" s="336">
        <f t="shared" ca="1" si="10"/>
        <v>0</v>
      </c>
      <c r="N32" s="135"/>
      <c r="O32" s="336">
        <f ca="1">SUM(O21:O26)</f>
        <v>-44.97499999999998</v>
      </c>
      <c r="P32" s="336">
        <f ca="1">SUM(P21:P26)</f>
        <v>0</v>
      </c>
      <c r="Q32" s="135"/>
      <c r="R32" s="338" t="str">
        <f ca="1">LEFT(R21,2)+LEFT(R22,2)+LEFT(R23,2)+LEFT(R24,2)+LEFT(R25,2)+LEFT(R26,2)&amp; " / "&amp;MID(R21,FIND("/",R21)+2,2)+MID(R22,FIND("/",R22)+2,2)+MID(R23,FIND("/",R23)+2,2)+MID(R24,FIND("/",R24)+2,2)+MID(R25,FIND("/",R25)+2,2)+MID(R26,FIND("/",R26)+2,2)&amp; " / "&amp; RIGHT(R21,2)+RIGHT(R22,2)+RIGHT(R23,2)+RIGHT(R24,2)+RIGHT(R25,2)+RIGHT(R26,2)</f>
        <v>0 / 0 / 0</v>
      </c>
      <c r="S32" s="336">
        <f ca="1">SUM(S21:S26)</f>
        <v>0</v>
      </c>
      <c r="T32" s="336">
        <f ca="1">SUM(T21:T26)</f>
        <v>0</v>
      </c>
      <c r="U32" s="339">
        <f t="shared" ref="U32:Y32" ca="1" si="11">SUM(U21:U26)</f>
        <v>0</v>
      </c>
      <c r="V32" s="336">
        <f t="shared" ca="1" si="11"/>
        <v>0</v>
      </c>
      <c r="W32" s="336">
        <f ca="1">SUM(W21:W26)</f>
        <v>0</v>
      </c>
      <c r="X32" s="336">
        <f ca="1">X26</f>
        <v>0</v>
      </c>
      <c r="Y32" s="336">
        <f t="shared" ca="1" si="11"/>
        <v>0</v>
      </c>
      <c r="Z32" s="336">
        <f ca="1">SUM(Z21:Z26)</f>
        <v>0</v>
      </c>
      <c r="AA32" s="336">
        <f ca="1">SUM(AA21:AA26)</f>
        <v>0</v>
      </c>
      <c r="AB32" s="135"/>
      <c r="AC32" s="336">
        <f t="shared" ref="AC32:AM32" ca="1" si="12">SUM(AC21:AC26)</f>
        <v>0</v>
      </c>
      <c r="AD32" s="336">
        <f t="shared" ca="1" si="12"/>
        <v>0</v>
      </c>
      <c r="AE32" s="336">
        <f t="shared" ca="1" si="12"/>
        <v>0</v>
      </c>
      <c r="AF32" s="336">
        <f t="shared" ca="1" si="12"/>
        <v>0</v>
      </c>
      <c r="AG32" s="336">
        <f t="shared" ca="1" si="12"/>
        <v>0</v>
      </c>
      <c r="AH32" s="336">
        <f t="shared" ca="1" si="12"/>
        <v>0</v>
      </c>
      <c r="AI32" s="336">
        <f t="shared" ca="1" si="12"/>
        <v>0</v>
      </c>
      <c r="AJ32" s="336">
        <f t="shared" ca="1" si="12"/>
        <v>0</v>
      </c>
      <c r="AK32" s="336">
        <f t="shared" ca="1" si="12"/>
        <v>0</v>
      </c>
      <c r="AL32" s="336">
        <f t="shared" ca="1" si="12"/>
        <v>0</v>
      </c>
      <c r="AM32" s="336">
        <f t="shared" ca="1" si="12"/>
        <v>0</v>
      </c>
      <c r="AN32" s="135"/>
      <c r="AO32" s="336">
        <f t="shared" ref="AO32" ca="1" si="13">SUM(AO21:AO26)</f>
        <v>0</v>
      </c>
    </row>
    <row r="33" spans="1:45" ht="12" customHeight="1" x14ac:dyDescent="0.2">
      <c r="A33" s="30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294"/>
      <c r="AO33" s="122"/>
      <c r="AR33" s="50"/>
      <c r="AS33" s="37"/>
    </row>
    <row r="34" spans="1:45" ht="57" customHeight="1" x14ac:dyDescent="0.2">
      <c r="A34" s="301" t="s">
        <v>62</v>
      </c>
      <c r="B34" s="12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122"/>
      <c r="S34" s="122"/>
      <c r="T34" s="122"/>
      <c r="U34" s="122"/>
      <c r="V34" s="345"/>
      <c r="W34" s="345"/>
      <c r="X34" s="345"/>
      <c r="Y34" s="345"/>
      <c r="Z34" s="345"/>
      <c r="AA34" s="345"/>
      <c r="AB34" s="345"/>
      <c r="AC34" s="501" t="s">
        <v>63</v>
      </c>
      <c r="AD34" s="501"/>
      <c r="AE34" s="501"/>
      <c r="AF34" s="501"/>
      <c r="AG34" s="501"/>
      <c r="AH34" s="501"/>
      <c r="AI34" s="502"/>
      <c r="AJ34" s="502"/>
      <c r="AK34" s="502"/>
      <c r="AL34" s="502"/>
      <c r="AM34" s="502"/>
      <c r="AN34" s="122"/>
      <c r="AO34" s="122"/>
    </row>
    <row r="35" spans="1:45" ht="12" customHeigh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294"/>
      <c r="AN35" s="122"/>
      <c r="AO35" s="122"/>
    </row>
    <row r="36" spans="1:45" ht="12" customHeight="1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294"/>
      <c r="AN36" s="122"/>
      <c r="AO36" s="122"/>
    </row>
  </sheetData>
  <sheetProtection sheet="1" objects="1" scenarios="1"/>
  <dataConsolidate/>
  <mergeCells count="23">
    <mergeCell ref="C7:P7"/>
    <mergeCell ref="C5:P5"/>
    <mergeCell ref="C6:P6"/>
    <mergeCell ref="C1:H1"/>
    <mergeCell ref="I1:AJ1"/>
    <mergeCell ref="C2:P2"/>
    <mergeCell ref="C3:P3"/>
    <mergeCell ref="C4:P4"/>
    <mergeCell ref="AC2:AG2"/>
    <mergeCell ref="AC3:AG3"/>
    <mergeCell ref="AC4:AG4"/>
    <mergeCell ref="AJ2:AM2"/>
    <mergeCell ref="AH2:AI2"/>
    <mergeCell ref="AH3:AM3"/>
    <mergeCell ref="AH4:AM4"/>
    <mergeCell ref="AC34:AH34"/>
    <mergeCell ref="C34:Q34"/>
    <mergeCell ref="AI34:AM34"/>
    <mergeCell ref="C9:G9"/>
    <mergeCell ref="I9:M9"/>
    <mergeCell ref="O9:P9"/>
    <mergeCell ref="R9:AA9"/>
    <mergeCell ref="AC9:AM9"/>
  </mergeCells>
  <phoneticPr fontId="5" type="noConversion"/>
  <conditionalFormatting sqref="W27 X13">
    <cfRule type="expression" dxfId="12" priority="5">
      <formula>$W$27&lt;$X$13</formula>
    </cfRule>
  </conditionalFormatting>
  <conditionalFormatting sqref="AC4:AM4">
    <cfRule type="expression" dxfId="11" priority="4">
      <formula>EB.WeitereAngaben=""</formula>
    </cfRule>
  </conditionalFormatting>
  <conditionalFormatting sqref="N30:O30">
    <cfRule type="expression" dxfId="10" priority="6">
      <formula>OR(EB.LKgr16&lt;&gt;INDEX(T.JaNein.Bereich,1,1),EB.ÜZZSBerechtigt&lt;&gt;INDEX(T.JaNein.Bereich,1,1))</formula>
    </cfRule>
  </conditionalFormatting>
  <pageMargins left="0.19685039370078741" right="0.19685039370078741" top="0.39370078740157483" bottom="0.39370078740157483" header="0.31496062992125984" footer="0.19685039370078741"/>
  <pageSetup paperSize="9" scale="50" orientation="landscape" blackAndWhite="1" horizontalDpi="4294967292" verticalDpi="4294967292" r:id="rId1"/>
  <headerFooter alignWithMargins="0">
    <oddFooter>&amp;L&amp;"Arial,Standard"&amp;11&amp;A&amp;C&amp;"Arial,Standard"&amp;11&amp;D&amp;R&amp;"Arial,Standard"&amp;11&amp;P /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>
    <pageSetUpPr autoPageBreaks="0" fitToPage="1"/>
  </sheetPr>
  <dimension ref="A1:AJ39"/>
  <sheetViews>
    <sheetView showGridLines="0" zoomScale="85" zoomScaleNormal="85" zoomScalePageLayoutView="85" workbookViewId="0"/>
  </sheetViews>
  <sheetFormatPr baseColWidth="10" defaultColWidth="10.75" defaultRowHeight="12.75" outlineLevelRow="1" x14ac:dyDescent="0.2"/>
  <cols>
    <col min="1" max="1" width="30.5" style="50" customWidth="1"/>
    <col min="2" max="15" width="7" style="50" customWidth="1"/>
    <col min="16" max="16" width="7" style="50" customWidth="1" collapsed="1"/>
    <col min="17" max="17" width="3.75" style="50" customWidth="1"/>
    <col min="18" max="18" width="7" style="50" customWidth="1"/>
    <col min="19" max="19" width="3.75" style="50" customWidth="1"/>
    <col min="20" max="20" width="7" style="50" customWidth="1"/>
    <col min="21" max="21" width="3.75" style="50" customWidth="1"/>
    <col min="22" max="16384" width="10.75" style="50"/>
  </cols>
  <sheetData>
    <row r="1" spans="1:36" s="38" customFormat="1" ht="23.25" customHeight="1" x14ac:dyDescent="0.2">
      <c r="A1" s="347" t="s">
        <v>159</v>
      </c>
      <c r="B1" s="348">
        <f>EB.Jahr</f>
        <v>2022</v>
      </c>
      <c r="C1" s="349"/>
      <c r="D1" s="349"/>
      <c r="E1" s="506" t="str">
        <f>Eingabeblatt!B1</f>
        <v>Arbeitszeittabelle</v>
      </c>
      <c r="F1" s="506"/>
      <c r="G1" s="506"/>
      <c r="H1" s="506"/>
      <c r="I1" s="506"/>
      <c r="J1" s="506"/>
      <c r="K1" s="506"/>
      <c r="L1" s="350"/>
      <c r="M1" s="306"/>
      <c r="N1" s="306"/>
      <c r="O1" s="306"/>
      <c r="P1" s="351"/>
      <c r="Q1" s="351"/>
      <c r="R1" s="351"/>
      <c r="S1" s="351"/>
      <c r="T1" s="306" t="str">
        <f>EB.Version</f>
        <v>Version 12.21</v>
      </c>
      <c r="U1" s="307" t="str">
        <f>EB.Sprache</f>
        <v>DE</v>
      </c>
    </row>
    <row r="2" spans="1:36" s="38" customFormat="1" ht="15" customHeight="1" x14ac:dyDescent="0.2">
      <c r="A2" s="118"/>
      <c r="B2" s="460" t="str">
        <f>Eingabeblatt!A3</f>
        <v>Name</v>
      </c>
      <c r="C2" s="473"/>
      <c r="D2" s="461"/>
      <c r="E2" s="498" t="str">
        <f>IF(EB.Name="","?",EB.Name)</f>
        <v>?</v>
      </c>
      <c r="F2" s="499"/>
      <c r="G2" s="499"/>
      <c r="H2" s="499"/>
      <c r="I2" s="499"/>
      <c r="J2" s="499"/>
      <c r="K2" s="500"/>
      <c r="L2" s="118"/>
      <c r="M2" s="460" t="s">
        <v>215</v>
      </c>
      <c r="N2" s="461"/>
      <c r="O2" s="513">
        <f ca="1">EB.BG_Total</f>
        <v>100</v>
      </c>
      <c r="P2" s="514"/>
      <c r="Q2" s="118"/>
      <c r="R2" s="118"/>
      <c r="S2" s="118"/>
      <c r="T2" s="118"/>
      <c r="U2" s="118"/>
    </row>
    <row r="3" spans="1:36" s="38" customFormat="1" ht="15" customHeight="1" x14ac:dyDescent="0.2">
      <c r="A3" s="118"/>
      <c r="B3" s="460" t="str">
        <f>Eingabeblatt!H2</f>
        <v>Funktion</v>
      </c>
      <c r="C3" s="473"/>
      <c r="D3" s="461"/>
      <c r="E3" s="482" t="str">
        <f>EB.Funktion</f>
        <v>Funktionsbeschreibung</v>
      </c>
      <c r="F3" s="483"/>
      <c r="G3" s="483"/>
      <c r="H3" s="483"/>
      <c r="I3" s="483"/>
      <c r="J3" s="483"/>
      <c r="K3" s="484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36" s="38" customFormat="1" ht="15" customHeight="1" x14ac:dyDescent="0.2">
      <c r="A4" s="118"/>
      <c r="B4" s="460" t="str">
        <f>Eingabeblatt!H3</f>
        <v>Institut/Abt.</v>
      </c>
      <c r="C4" s="473"/>
      <c r="D4" s="461"/>
      <c r="E4" s="510" t="str">
        <f>EB.Institut</f>
        <v>Angabe Institut/Abteilung</v>
      </c>
      <c r="F4" s="511"/>
      <c r="G4" s="511"/>
      <c r="H4" s="511"/>
      <c r="I4" s="511"/>
      <c r="J4" s="511"/>
      <c r="K4" s="512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36" s="38" customFormat="1" ht="15" customHeight="1" x14ac:dyDescent="0.2">
      <c r="A5" s="118"/>
      <c r="B5" s="460" t="str">
        <f>Eingabeblatt!A5</f>
        <v>Personalnummer</v>
      </c>
      <c r="C5" s="473"/>
      <c r="D5" s="461"/>
      <c r="E5" s="482" t="str">
        <f>IF(EB.Personalnummer="","?",EB.Personalnummer)</f>
        <v>?</v>
      </c>
      <c r="F5" s="483"/>
      <c r="G5" s="483"/>
      <c r="H5" s="483"/>
      <c r="I5" s="483"/>
      <c r="J5" s="483"/>
      <c r="K5" s="484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36" s="38" customFormat="1" ht="15" customHeight="1" x14ac:dyDescent="0.2">
      <c r="A6" s="118"/>
      <c r="B6" s="460" t="str">
        <f>Eingabeblatt!H4</f>
        <v>Fakultät</v>
      </c>
      <c r="C6" s="473"/>
      <c r="D6" s="461"/>
      <c r="E6" s="510" t="str">
        <f>EB.Fakultaet</f>
        <v>Auswahl Fakultät</v>
      </c>
      <c r="F6" s="511"/>
      <c r="G6" s="511"/>
      <c r="H6" s="511"/>
      <c r="I6" s="511"/>
      <c r="J6" s="511"/>
      <c r="K6" s="512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36" s="38" customFormat="1" ht="15" customHeight="1" x14ac:dyDescent="0.2">
      <c r="A7" s="118"/>
      <c r="B7" s="460" t="str">
        <f>Eingabeblatt!H5</f>
        <v>Personalkategorie</v>
      </c>
      <c r="C7" s="473"/>
      <c r="D7" s="461"/>
      <c r="E7" s="510" t="str">
        <f>EB.Personalkategorie</f>
        <v>Auswahl Personalkategorie</v>
      </c>
      <c r="F7" s="511"/>
      <c r="G7" s="511"/>
      <c r="H7" s="511"/>
      <c r="I7" s="511"/>
      <c r="J7" s="511"/>
      <c r="K7" s="512"/>
      <c r="L7" s="118"/>
      <c r="M7" s="118"/>
      <c r="N7" s="118"/>
      <c r="O7" s="118"/>
      <c r="P7" s="118"/>
      <c r="Q7" s="118"/>
      <c r="R7" s="118"/>
      <c r="S7" s="118"/>
      <c r="T7" s="118"/>
      <c r="U7" s="118"/>
      <c r="AJ7" s="54"/>
    </row>
    <row r="8" spans="1:36" s="38" customFormat="1" ht="11.25" customHeight="1" x14ac:dyDescent="0.2">
      <c r="A8" s="118"/>
      <c r="B8" s="352">
        <v>1</v>
      </c>
      <c r="C8" s="352">
        <v>2</v>
      </c>
      <c r="D8" s="352">
        <v>3</v>
      </c>
      <c r="E8" s="352">
        <v>4</v>
      </c>
      <c r="F8" s="352">
        <v>5</v>
      </c>
      <c r="G8" s="352">
        <v>6</v>
      </c>
      <c r="H8" s="352">
        <v>7</v>
      </c>
      <c r="I8" s="352">
        <v>8</v>
      </c>
      <c r="J8" s="352">
        <v>9</v>
      </c>
      <c r="K8" s="352">
        <v>10</v>
      </c>
      <c r="L8" s="352">
        <v>11</v>
      </c>
      <c r="M8" s="352">
        <v>12</v>
      </c>
      <c r="N8" s="352">
        <v>13</v>
      </c>
      <c r="O8" s="352">
        <v>14</v>
      </c>
      <c r="P8" s="352">
        <v>15</v>
      </c>
      <c r="Q8" s="118"/>
      <c r="R8" s="118"/>
      <c r="S8" s="118"/>
      <c r="T8" s="118"/>
      <c r="U8" s="118"/>
    </row>
    <row r="9" spans="1:36" s="55" customFormat="1" ht="159.75" customHeight="1" x14ac:dyDescent="0.2">
      <c r="A9" s="353"/>
      <c r="B9" s="354" t="str">
        <f t="shared" ref="B9:P9" si="0">IF(EB.AnzProjekte&gt;=B8,INDEX(EB.Projekte.Bereich,B8),"")</f>
        <v/>
      </c>
      <c r="C9" s="354" t="str">
        <f t="shared" si="0"/>
        <v/>
      </c>
      <c r="D9" s="354" t="str">
        <f t="shared" si="0"/>
        <v/>
      </c>
      <c r="E9" s="354" t="str">
        <f t="shared" si="0"/>
        <v/>
      </c>
      <c r="F9" s="354" t="str">
        <f t="shared" si="0"/>
        <v/>
      </c>
      <c r="G9" s="354" t="str">
        <f t="shared" si="0"/>
        <v/>
      </c>
      <c r="H9" s="354" t="str">
        <f t="shared" si="0"/>
        <v/>
      </c>
      <c r="I9" s="354" t="str">
        <f t="shared" si="0"/>
        <v/>
      </c>
      <c r="J9" s="354" t="str">
        <f t="shared" si="0"/>
        <v/>
      </c>
      <c r="K9" s="354" t="str">
        <f t="shared" si="0"/>
        <v/>
      </c>
      <c r="L9" s="354" t="str">
        <f t="shared" si="0"/>
        <v/>
      </c>
      <c r="M9" s="354" t="str">
        <f t="shared" si="0"/>
        <v/>
      </c>
      <c r="N9" s="354" t="str">
        <f t="shared" si="0"/>
        <v/>
      </c>
      <c r="O9" s="354" t="str">
        <f t="shared" si="0"/>
        <v/>
      </c>
      <c r="P9" s="354" t="str">
        <f t="shared" si="0"/>
        <v/>
      </c>
      <c r="Q9" s="118"/>
      <c r="R9" s="316" t="s">
        <v>142</v>
      </c>
      <c r="S9" s="118"/>
      <c r="T9" s="316" t="s">
        <v>233</v>
      </c>
      <c r="U9" s="11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6" s="55" customFormat="1" ht="11.25" customHeight="1" x14ac:dyDescent="0.2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118"/>
      <c r="R10" s="313"/>
      <c r="S10" s="118"/>
      <c r="T10" s="313"/>
      <c r="U10" s="118"/>
    </row>
    <row r="11" spans="1:36" s="38" customFormat="1" ht="15" customHeight="1" x14ac:dyDescent="0.2">
      <c r="A11" s="335" t="str">
        <f>INDEX(EB.Monate.Bereich,1,0)</f>
        <v>Januar</v>
      </c>
      <c r="B11" s="66" t="str">
        <f>IF(B$9="","",IF(EB.Anwendung&lt;&gt;"",IF(INDEX(Januar!Monat.ProjekteTotal.Bereich,B$8)&lt;=0,0,INDEX(Januar!Monat.ProjekteTotal.Bereich,B$8)),""))</f>
        <v/>
      </c>
      <c r="C11" s="66" t="str">
        <f>IF(C$9="","",IF(EB.Anwendung&lt;&gt;"",IF(INDEX(Januar!Monat.ProjekteTotal.Bereich,C$8)&lt;=0,0,INDEX(Januar!Monat.ProjekteTotal.Bereich,C$8)),""))</f>
        <v/>
      </c>
      <c r="D11" s="66" t="str">
        <f>IF(D$9="","",IF(EB.Anwendung&lt;&gt;"",IF(INDEX(Januar!Monat.ProjekteTotal.Bereich,D$8)&lt;=0,0,INDEX(Januar!Monat.ProjekteTotal.Bereich,D$8)),""))</f>
        <v/>
      </c>
      <c r="E11" s="66" t="str">
        <f>IF(E$9="","",IF(EB.Anwendung&lt;&gt;"",IF(INDEX(Januar!Monat.ProjekteTotal.Bereich,E$8)&lt;=0,0,INDEX(Januar!Monat.ProjekteTotal.Bereich,E$8)),""))</f>
        <v/>
      </c>
      <c r="F11" s="66" t="str">
        <f>IF(F$9="","",IF(EB.Anwendung&lt;&gt;"",IF(INDEX(Januar!Monat.ProjekteTotal.Bereich,F$8)&lt;=0,0,INDEX(Januar!Monat.ProjekteTotal.Bereich,F$8)),""))</f>
        <v/>
      </c>
      <c r="G11" s="66" t="str">
        <f>IF(G$9="","",IF(EB.Anwendung&lt;&gt;"",IF(INDEX(Januar!Monat.ProjekteTotal.Bereich,G$8)&lt;=0,0,INDEX(Januar!Monat.ProjekteTotal.Bereich,G$8)),""))</f>
        <v/>
      </c>
      <c r="H11" s="66" t="str">
        <f>IF(H$9="","",IF(EB.Anwendung&lt;&gt;"",IF(INDEX(Januar!Monat.ProjekteTotal.Bereich,H$8)&lt;=0,0,INDEX(Januar!Monat.ProjekteTotal.Bereich,H$8)),""))</f>
        <v/>
      </c>
      <c r="I11" s="66" t="str">
        <f>IF(I$9="","",IF(EB.Anwendung&lt;&gt;"",IF(INDEX(Januar!Monat.ProjekteTotal.Bereich,I$8)&lt;=0,0,INDEX(Januar!Monat.ProjekteTotal.Bereich,I$8)),""))</f>
        <v/>
      </c>
      <c r="J11" s="66" t="str">
        <f>IF(J$9="","",IF(EB.Anwendung&lt;&gt;"",IF(INDEX(Januar!Monat.ProjekteTotal.Bereich,J$8)&lt;=0,0,INDEX(Januar!Monat.ProjekteTotal.Bereich,J$8)),""))</f>
        <v/>
      </c>
      <c r="K11" s="66" t="str">
        <f>IF(K$9="","",IF(EB.Anwendung&lt;&gt;"",IF(INDEX(Januar!Monat.ProjekteTotal.Bereich,K$8)&lt;=0,0,INDEX(Januar!Monat.ProjekteTotal.Bereich,K$8)),""))</f>
        <v/>
      </c>
      <c r="L11" s="66" t="str">
        <f>IF(L$9="","",IF(EB.Anwendung&lt;&gt;"",IF(INDEX(Januar!Monat.ProjekteTotal.Bereich,L$8)&lt;=0,0,INDEX(Januar!Monat.ProjekteTotal.Bereich,L$8)),""))</f>
        <v/>
      </c>
      <c r="M11" s="66" t="str">
        <f>IF(M$9="","",IF(EB.Anwendung&lt;&gt;"",IF(INDEX(Januar!Monat.ProjekteTotal.Bereich,M$8)&lt;=0,0,INDEX(Januar!Monat.ProjekteTotal.Bereich,M$8)),""))</f>
        <v/>
      </c>
      <c r="N11" s="66" t="str">
        <f>IF(N$9="","",IF(EB.Anwendung&lt;&gt;"",IF(INDEX(Januar!Monat.ProjekteTotal.Bereich,N$8)&lt;=0,0,INDEX(Januar!Monat.ProjekteTotal.Bereich,N$8)),""))</f>
        <v/>
      </c>
      <c r="O11" s="66" t="str">
        <f>IF(O$9="","",IF(EB.Anwendung&lt;&gt;"",IF(INDEX(Januar!Monat.ProjekteTotal.Bereich,O$8)&lt;=0,0,INDEX(Januar!Monat.ProjekteTotal.Bereich,O$8)),""))</f>
        <v/>
      </c>
      <c r="P11" s="66" t="str">
        <f>IF(P$9="","",IF(EB.Anwendung&lt;&gt;"",IF(INDEX(Januar!Monat.ProjekteTotal.Bereich,P$8)&lt;=0,0,INDEX(Januar!Monat.ProjekteTotal.Bereich,P$8)),""))</f>
        <v/>
      </c>
      <c r="Q11" s="118"/>
      <c r="R11" s="336">
        <f t="shared" ref="R11:R22" si="1">SUM(B11:P11)</f>
        <v>0</v>
      </c>
      <c r="S11" s="118"/>
      <c r="T11" s="356" t="str">
        <f ca="1">IF(Jahresabrechnung!AO15+Jahresabrechnung!S15+Jahresabrechnung!AI15=0,"",R11/(Jahresabrechnung!AO15+Jahresabrechnung!S15+Jahresabrechnung!AI15))</f>
        <v/>
      </c>
      <c r="U11" s="118"/>
    </row>
    <row r="12" spans="1:36" s="38" customFormat="1" ht="15" customHeight="1" x14ac:dyDescent="0.2">
      <c r="A12" s="335" t="str">
        <f>INDEX(EB.Monate.Bereich,2,0)</f>
        <v>Februar</v>
      </c>
      <c r="B12" s="66" t="str">
        <f>IF(B$9="","",IF(EB.Anwendung&lt;&gt;"",IF(INDEX(Februar!Monat.ProjekteTotal.Bereich,B$8)&lt;=0,0,INDEX(Februar!Monat.ProjekteTotal.Bereich,B$8)),""))</f>
        <v/>
      </c>
      <c r="C12" s="66" t="str">
        <f>IF(C$9="","",IF(EB.Anwendung&lt;&gt;"",IF(INDEX(Februar!Monat.ProjekteTotal.Bereich,C$8)&lt;=0,0,INDEX(Februar!Monat.ProjekteTotal.Bereich,C$8)),""))</f>
        <v/>
      </c>
      <c r="D12" s="66" t="str">
        <f>IF(D$9="","",IF(EB.Anwendung&lt;&gt;"",IF(INDEX(Februar!Monat.ProjekteTotal.Bereich,D$8)&lt;=0,0,INDEX(Februar!Monat.ProjekteTotal.Bereich,D$8)),""))</f>
        <v/>
      </c>
      <c r="E12" s="66" t="str">
        <f>IF(E$9="","",IF(EB.Anwendung&lt;&gt;"",IF(INDEX(Februar!Monat.ProjekteTotal.Bereich,E$8)&lt;=0,0,INDEX(Februar!Monat.ProjekteTotal.Bereich,E$8)),""))</f>
        <v/>
      </c>
      <c r="F12" s="66" t="str">
        <f>IF(F$9="","",IF(EB.Anwendung&lt;&gt;"",IF(INDEX(Februar!Monat.ProjekteTotal.Bereich,F$8)&lt;=0,0,INDEX(Februar!Monat.ProjekteTotal.Bereich,F$8)),""))</f>
        <v/>
      </c>
      <c r="G12" s="66" t="str">
        <f>IF(G$9="","",IF(EB.Anwendung&lt;&gt;"",IF(INDEX(Februar!Monat.ProjekteTotal.Bereich,G$8)&lt;=0,0,INDEX(Februar!Monat.ProjekteTotal.Bereich,G$8)),""))</f>
        <v/>
      </c>
      <c r="H12" s="66" t="str">
        <f>IF(H$9="","",IF(EB.Anwendung&lt;&gt;"",IF(INDEX(Februar!Monat.ProjekteTotal.Bereich,H$8)&lt;=0,0,INDEX(Februar!Monat.ProjekteTotal.Bereich,H$8)),""))</f>
        <v/>
      </c>
      <c r="I12" s="66" t="str">
        <f>IF(I$9="","",IF(EB.Anwendung&lt;&gt;"",IF(INDEX(Februar!Monat.ProjekteTotal.Bereich,I$8)&lt;=0,0,INDEX(Februar!Monat.ProjekteTotal.Bereich,I$8)),""))</f>
        <v/>
      </c>
      <c r="J12" s="66" t="str">
        <f>IF(J$9="","",IF(EB.Anwendung&lt;&gt;"",IF(INDEX(Februar!Monat.ProjekteTotal.Bereich,J$8)&lt;=0,0,INDEX(Februar!Monat.ProjekteTotal.Bereich,J$8)),""))</f>
        <v/>
      </c>
      <c r="K12" s="66" t="str">
        <f>IF(K$9="","",IF(EB.Anwendung&lt;&gt;"",IF(INDEX(Februar!Monat.ProjekteTotal.Bereich,K$8)&lt;=0,0,INDEX(Februar!Monat.ProjekteTotal.Bereich,K$8)),""))</f>
        <v/>
      </c>
      <c r="L12" s="66" t="str">
        <f>IF(L$9="","",IF(EB.Anwendung&lt;&gt;"",IF(INDEX(Februar!Monat.ProjekteTotal.Bereich,L$8)&lt;=0,0,INDEX(Februar!Monat.ProjekteTotal.Bereich,L$8)),""))</f>
        <v/>
      </c>
      <c r="M12" s="66" t="str">
        <f>IF(M$9="","",IF(EB.Anwendung&lt;&gt;"",IF(INDEX(Februar!Monat.ProjekteTotal.Bereich,M$8)&lt;=0,0,INDEX(Februar!Monat.ProjekteTotal.Bereich,M$8)),""))</f>
        <v/>
      </c>
      <c r="N12" s="66" t="str">
        <f>IF(N$9="","",IF(EB.Anwendung&lt;&gt;"",IF(INDEX(Februar!Monat.ProjekteTotal.Bereich,N$8)&lt;=0,0,INDEX(Februar!Monat.ProjekteTotal.Bereich,N$8)),""))</f>
        <v/>
      </c>
      <c r="O12" s="66" t="str">
        <f>IF(O$9="","",IF(EB.Anwendung&lt;&gt;"",IF(INDEX(Februar!Monat.ProjekteTotal.Bereich,O$8)&lt;=0,0,INDEX(Februar!Monat.ProjekteTotal.Bereich,O$8)),""))</f>
        <v/>
      </c>
      <c r="P12" s="66" t="str">
        <f>IF(P$9="","",IF(EB.Anwendung&lt;&gt;"",IF(INDEX(Februar!Monat.ProjekteTotal.Bereich,P$8)&lt;=0,0,INDEX(Februar!Monat.ProjekteTotal.Bereich,P$8)),""))</f>
        <v/>
      </c>
      <c r="Q12" s="118"/>
      <c r="R12" s="336">
        <f t="shared" si="1"/>
        <v>0</v>
      </c>
      <c r="S12" s="118"/>
      <c r="T12" s="356" t="str">
        <f ca="1">IF(Jahresabrechnung!AO16+Jahresabrechnung!S16+Jahresabrechnung!AI16=0,"",R12/(Jahresabrechnung!AO16+Jahresabrechnung!S16+Jahresabrechnung!AI16))</f>
        <v/>
      </c>
      <c r="U12" s="118"/>
    </row>
    <row r="13" spans="1:36" s="38" customFormat="1" ht="15" customHeight="1" x14ac:dyDescent="0.2">
      <c r="A13" s="335" t="str">
        <f>INDEX(EB.Monate.Bereich,3,0)</f>
        <v>März</v>
      </c>
      <c r="B13" s="66" t="str">
        <f>IF(B$9="","",IF(EB.Anwendung&lt;&gt;"",IF(INDEX(März!Monat.ProjekteTotal.Bereich,B$8)&lt;=0,0,INDEX(März!Monat.ProjekteTotal.Bereich,B$8)),""))</f>
        <v/>
      </c>
      <c r="C13" s="66" t="str">
        <f>IF(C$9="","",IF(EB.Anwendung&lt;&gt;"",IF(INDEX(März!Monat.ProjekteTotal.Bereich,C$8)&lt;=0,0,INDEX(März!Monat.ProjekteTotal.Bereich,C$8)),""))</f>
        <v/>
      </c>
      <c r="D13" s="66" t="str">
        <f>IF(D$9="","",IF(EB.Anwendung&lt;&gt;"",IF(INDEX(März!Monat.ProjekteTotal.Bereich,D$8)&lt;=0,0,INDEX(März!Monat.ProjekteTotal.Bereich,D$8)),""))</f>
        <v/>
      </c>
      <c r="E13" s="66" t="str">
        <f>IF(E$9="","",IF(EB.Anwendung&lt;&gt;"",IF(INDEX(März!Monat.ProjekteTotal.Bereich,E$8)&lt;=0,0,INDEX(März!Monat.ProjekteTotal.Bereich,E$8)),""))</f>
        <v/>
      </c>
      <c r="F13" s="66" t="str">
        <f>IF(F$9="","",IF(EB.Anwendung&lt;&gt;"",IF(INDEX(März!Monat.ProjekteTotal.Bereich,F$8)&lt;=0,0,INDEX(März!Monat.ProjekteTotal.Bereich,F$8)),""))</f>
        <v/>
      </c>
      <c r="G13" s="66" t="str">
        <f>IF(G$9="","",IF(EB.Anwendung&lt;&gt;"",IF(INDEX(März!Monat.ProjekteTotal.Bereich,G$8)&lt;=0,0,INDEX(März!Monat.ProjekteTotal.Bereich,G$8)),""))</f>
        <v/>
      </c>
      <c r="H13" s="66" t="str">
        <f>IF(H$9="","",IF(EB.Anwendung&lt;&gt;"",IF(INDEX(März!Monat.ProjekteTotal.Bereich,H$8)&lt;=0,0,INDEX(März!Monat.ProjekteTotal.Bereich,H$8)),""))</f>
        <v/>
      </c>
      <c r="I13" s="66" t="str">
        <f>IF(I$9="","",IF(EB.Anwendung&lt;&gt;"",IF(INDEX(März!Monat.ProjekteTotal.Bereich,I$8)&lt;=0,0,INDEX(März!Monat.ProjekteTotal.Bereich,I$8)),""))</f>
        <v/>
      </c>
      <c r="J13" s="66" t="str">
        <f>IF(J$9="","",IF(EB.Anwendung&lt;&gt;"",IF(INDEX(März!Monat.ProjekteTotal.Bereich,J$8)&lt;=0,0,INDEX(März!Monat.ProjekteTotal.Bereich,J$8)),""))</f>
        <v/>
      </c>
      <c r="K13" s="66" t="str">
        <f>IF(K$9="","",IF(EB.Anwendung&lt;&gt;"",IF(INDEX(März!Monat.ProjekteTotal.Bereich,K$8)&lt;=0,0,INDEX(März!Monat.ProjekteTotal.Bereich,K$8)),""))</f>
        <v/>
      </c>
      <c r="L13" s="66" t="str">
        <f>IF(L$9="","",IF(EB.Anwendung&lt;&gt;"",IF(INDEX(März!Monat.ProjekteTotal.Bereich,L$8)&lt;=0,0,INDEX(März!Monat.ProjekteTotal.Bereich,L$8)),""))</f>
        <v/>
      </c>
      <c r="M13" s="66" t="str">
        <f>IF(M$9="","",IF(EB.Anwendung&lt;&gt;"",IF(INDEX(März!Monat.ProjekteTotal.Bereich,M$8)&lt;=0,0,INDEX(März!Monat.ProjekteTotal.Bereich,M$8)),""))</f>
        <v/>
      </c>
      <c r="N13" s="66" t="str">
        <f>IF(N$9="","",IF(EB.Anwendung&lt;&gt;"",IF(INDEX(März!Monat.ProjekteTotal.Bereich,N$8)&lt;=0,0,INDEX(März!Monat.ProjekteTotal.Bereich,N$8)),""))</f>
        <v/>
      </c>
      <c r="O13" s="66" t="str">
        <f>IF(O$9="","",IF(EB.Anwendung&lt;&gt;"",IF(INDEX(März!Monat.ProjekteTotal.Bereich,O$8)&lt;=0,0,INDEX(März!Monat.ProjekteTotal.Bereich,O$8)),""))</f>
        <v/>
      </c>
      <c r="P13" s="66" t="str">
        <f>IF(P$9="","",IF(EB.Anwendung&lt;&gt;"",IF(INDEX(März!Monat.ProjekteTotal.Bereich,P$8)&lt;=0,0,INDEX(März!Monat.ProjekteTotal.Bereich,P$8)),""))</f>
        <v/>
      </c>
      <c r="Q13" s="118"/>
      <c r="R13" s="336">
        <f t="shared" si="1"/>
        <v>0</v>
      </c>
      <c r="S13" s="118"/>
      <c r="T13" s="356" t="str">
        <f ca="1">IF(Jahresabrechnung!AO17+Jahresabrechnung!S17+Jahresabrechnung!AI17=0,"",R13/(Jahresabrechnung!AO17+Jahresabrechnung!S17+Jahresabrechnung!AI17))</f>
        <v/>
      </c>
      <c r="U13" s="118"/>
    </row>
    <row r="14" spans="1:36" s="38" customFormat="1" ht="15" customHeight="1" x14ac:dyDescent="0.2">
      <c r="A14" s="335" t="str">
        <f>INDEX(EB.Monate.Bereich,4,0)</f>
        <v>April</v>
      </c>
      <c r="B14" s="66" t="str">
        <f>IF(B$9="","",IF(EB.Anwendung&lt;&gt;"",IF(INDEX(April!Monat.ProjekteTotal.Bereich,B$8)&lt;=0,0,INDEX(April!Monat.ProjekteTotal.Bereich,B$8)),""))</f>
        <v/>
      </c>
      <c r="C14" s="66" t="str">
        <f>IF(C$9="","",IF(EB.Anwendung&lt;&gt;"",IF(INDEX(April!Monat.ProjekteTotal.Bereich,C$8)&lt;=0,0,INDEX(April!Monat.ProjekteTotal.Bereich,C$8)),""))</f>
        <v/>
      </c>
      <c r="D14" s="66" t="str">
        <f>IF(D$9="","",IF(EB.Anwendung&lt;&gt;"",IF(INDEX(April!Monat.ProjekteTotal.Bereich,D$8)&lt;=0,0,INDEX(April!Monat.ProjekteTotal.Bereich,D$8)),""))</f>
        <v/>
      </c>
      <c r="E14" s="66" t="str">
        <f>IF(E$9="","",IF(EB.Anwendung&lt;&gt;"",IF(INDEX(April!Monat.ProjekteTotal.Bereich,E$8)&lt;=0,0,INDEX(April!Monat.ProjekteTotal.Bereich,E$8)),""))</f>
        <v/>
      </c>
      <c r="F14" s="66" t="str">
        <f>IF(F$9="","",IF(EB.Anwendung&lt;&gt;"",IF(INDEX(April!Monat.ProjekteTotal.Bereich,F$8)&lt;=0,0,INDEX(April!Monat.ProjekteTotal.Bereich,F$8)),""))</f>
        <v/>
      </c>
      <c r="G14" s="66" t="str">
        <f>IF(G$9="","",IF(EB.Anwendung&lt;&gt;"",IF(INDEX(April!Monat.ProjekteTotal.Bereich,G$8)&lt;=0,0,INDEX(April!Monat.ProjekteTotal.Bereich,G$8)),""))</f>
        <v/>
      </c>
      <c r="H14" s="66" t="str">
        <f>IF(H$9="","",IF(EB.Anwendung&lt;&gt;"",IF(INDEX(April!Monat.ProjekteTotal.Bereich,H$8)&lt;=0,0,INDEX(April!Monat.ProjekteTotal.Bereich,H$8)),""))</f>
        <v/>
      </c>
      <c r="I14" s="66" t="str">
        <f>IF(I$9="","",IF(EB.Anwendung&lt;&gt;"",IF(INDEX(April!Monat.ProjekteTotal.Bereich,I$8)&lt;=0,0,INDEX(April!Monat.ProjekteTotal.Bereich,I$8)),""))</f>
        <v/>
      </c>
      <c r="J14" s="66" t="str">
        <f>IF(J$9="","",IF(EB.Anwendung&lt;&gt;"",IF(INDEX(April!Monat.ProjekteTotal.Bereich,J$8)&lt;=0,0,INDEX(April!Monat.ProjekteTotal.Bereich,J$8)),""))</f>
        <v/>
      </c>
      <c r="K14" s="66" t="str">
        <f>IF(K$9="","",IF(EB.Anwendung&lt;&gt;"",IF(INDEX(April!Monat.ProjekteTotal.Bereich,K$8)&lt;=0,0,INDEX(April!Monat.ProjekteTotal.Bereich,K$8)),""))</f>
        <v/>
      </c>
      <c r="L14" s="66" t="str">
        <f>IF(L$9="","",IF(EB.Anwendung&lt;&gt;"",IF(INDEX(April!Monat.ProjekteTotal.Bereich,L$8)&lt;=0,0,INDEX(April!Monat.ProjekteTotal.Bereich,L$8)),""))</f>
        <v/>
      </c>
      <c r="M14" s="66" t="str">
        <f>IF(M$9="","",IF(EB.Anwendung&lt;&gt;"",IF(INDEX(April!Monat.ProjekteTotal.Bereich,M$8)&lt;=0,0,INDEX(April!Monat.ProjekteTotal.Bereich,M$8)),""))</f>
        <v/>
      </c>
      <c r="N14" s="66" t="str">
        <f>IF(N$9="","",IF(EB.Anwendung&lt;&gt;"",IF(INDEX(April!Monat.ProjekteTotal.Bereich,N$8)&lt;=0,0,INDEX(April!Monat.ProjekteTotal.Bereich,N$8)),""))</f>
        <v/>
      </c>
      <c r="O14" s="66" t="str">
        <f>IF(O$9="","",IF(EB.Anwendung&lt;&gt;"",IF(INDEX(April!Monat.ProjekteTotal.Bereich,O$8)&lt;=0,0,INDEX(April!Monat.ProjekteTotal.Bereich,O$8)),""))</f>
        <v/>
      </c>
      <c r="P14" s="66" t="str">
        <f>IF(P$9="","",IF(EB.Anwendung&lt;&gt;"",IF(INDEX(April!Monat.ProjekteTotal.Bereich,P$8)&lt;=0,0,INDEX(April!Monat.ProjekteTotal.Bereich,P$8)),""))</f>
        <v/>
      </c>
      <c r="Q14" s="118"/>
      <c r="R14" s="336">
        <f t="shared" si="1"/>
        <v>0</v>
      </c>
      <c r="S14" s="118"/>
      <c r="T14" s="356" t="str">
        <f ca="1">IF(Jahresabrechnung!AO18+Jahresabrechnung!S18+Jahresabrechnung!AI18=0,"",R14/(Jahresabrechnung!AO18+Jahresabrechnung!S18+Jahresabrechnung!AI18))</f>
        <v/>
      </c>
      <c r="U14" s="118"/>
    </row>
    <row r="15" spans="1:36" s="38" customFormat="1" ht="15" customHeight="1" x14ac:dyDescent="0.2">
      <c r="A15" s="335" t="str">
        <f>INDEX(EB.Monate.Bereich,5,0)</f>
        <v>Mai</v>
      </c>
      <c r="B15" s="66" t="str">
        <f>IF(B$9="","",IF(EB.Anwendung&lt;&gt;"",IF(INDEX(Mai!Monat.ProjekteTotal.Bereich,B$8)&lt;=0,0,INDEX(Mai!Monat.ProjekteTotal.Bereich,B$8)),""))</f>
        <v/>
      </c>
      <c r="C15" s="66" t="str">
        <f>IF(C$9="","",IF(EB.Anwendung&lt;&gt;"",IF(INDEX(Mai!Monat.ProjekteTotal.Bereich,C$8)&lt;=0,0,INDEX(Mai!Monat.ProjekteTotal.Bereich,C$8)),""))</f>
        <v/>
      </c>
      <c r="D15" s="66" t="str">
        <f>IF(D$9="","",IF(EB.Anwendung&lt;&gt;"",IF(INDEX(Mai!Monat.ProjekteTotal.Bereich,D$8)&lt;=0,0,INDEX(Mai!Monat.ProjekteTotal.Bereich,D$8)),""))</f>
        <v/>
      </c>
      <c r="E15" s="66" t="str">
        <f>IF(E$9="","",IF(EB.Anwendung&lt;&gt;"",IF(INDEX(Mai!Monat.ProjekteTotal.Bereich,E$8)&lt;=0,0,INDEX(Mai!Monat.ProjekteTotal.Bereich,E$8)),""))</f>
        <v/>
      </c>
      <c r="F15" s="66" t="str">
        <f>IF(F$9="","",IF(EB.Anwendung&lt;&gt;"",IF(INDEX(Mai!Monat.ProjekteTotal.Bereich,F$8)&lt;=0,0,INDEX(Mai!Monat.ProjekteTotal.Bereich,F$8)),""))</f>
        <v/>
      </c>
      <c r="G15" s="66" t="str">
        <f>IF(G$9="","",IF(EB.Anwendung&lt;&gt;"",IF(INDEX(Mai!Monat.ProjekteTotal.Bereich,G$8)&lt;=0,0,INDEX(Mai!Monat.ProjekteTotal.Bereich,G$8)),""))</f>
        <v/>
      </c>
      <c r="H15" s="66" t="str">
        <f>IF(H$9="","",IF(EB.Anwendung&lt;&gt;"",IF(INDEX(Mai!Monat.ProjekteTotal.Bereich,H$8)&lt;=0,0,INDEX(Mai!Monat.ProjekteTotal.Bereich,H$8)),""))</f>
        <v/>
      </c>
      <c r="I15" s="66" t="str">
        <f>IF(I$9="","",IF(EB.Anwendung&lt;&gt;"",IF(INDEX(Mai!Monat.ProjekteTotal.Bereich,I$8)&lt;=0,0,INDEX(Mai!Monat.ProjekteTotal.Bereich,I$8)),""))</f>
        <v/>
      </c>
      <c r="J15" s="66" t="str">
        <f>IF(J$9="","",IF(EB.Anwendung&lt;&gt;"",IF(INDEX(Mai!Monat.ProjekteTotal.Bereich,J$8)&lt;=0,0,INDEX(Mai!Monat.ProjekteTotal.Bereich,J$8)),""))</f>
        <v/>
      </c>
      <c r="K15" s="66" t="str">
        <f>IF(K$9="","",IF(EB.Anwendung&lt;&gt;"",IF(INDEX(Mai!Monat.ProjekteTotal.Bereich,K$8)&lt;=0,0,INDEX(Mai!Monat.ProjekteTotal.Bereich,K$8)),""))</f>
        <v/>
      </c>
      <c r="L15" s="66" t="str">
        <f>IF(L$9="","",IF(EB.Anwendung&lt;&gt;"",IF(INDEX(Mai!Monat.ProjekteTotal.Bereich,L$8)&lt;=0,0,INDEX(Mai!Monat.ProjekteTotal.Bereich,L$8)),""))</f>
        <v/>
      </c>
      <c r="M15" s="66" t="str">
        <f>IF(M$9="","",IF(EB.Anwendung&lt;&gt;"",IF(INDEX(Mai!Monat.ProjekteTotal.Bereich,M$8)&lt;=0,0,INDEX(Mai!Monat.ProjekteTotal.Bereich,M$8)),""))</f>
        <v/>
      </c>
      <c r="N15" s="66" t="str">
        <f>IF(N$9="","",IF(EB.Anwendung&lt;&gt;"",IF(INDEX(Mai!Monat.ProjekteTotal.Bereich,N$8)&lt;=0,0,INDEX(Mai!Monat.ProjekteTotal.Bereich,N$8)),""))</f>
        <v/>
      </c>
      <c r="O15" s="66" t="str">
        <f>IF(O$9="","",IF(EB.Anwendung&lt;&gt;"",IF(INDEX(Mai!Monat.ProjekteTotal.Bereich,O$8)&lt;=0,0,INDEX(Mai!Monat.ProjekteTotal.Bereich,O$8)),""))</f>
        <v/>
      </c>
      <c r="P15" s="66" t="str">
        <f>IF(P$9="","",IF(EB.Anwendung&lt;&gt;"",IF(INDEX(Mai!Monat.ProjekteTotal.Bereich,P$8)&lt;=0,0,INDEX(Mai!Monat.ProjekteTotal.Bereich,P$8)),""))</f>
        <v/>
      </c>
      <c r="Q15" s="118"/>
      <c r="R15" s="336">
        <f t="shared" si="1"/>
        <v>0</v>
      </c>
      <c r="S15" s="118"/>
      <c r="T15" s="356" t="str">
        <f ca="1">IF(Jahresabrechnung!AO19+Jahresabrechnung!S19+Jahresabrechnung!AI19=0,"",R15/(Jahresabrechnung!AO19+Jahresabrechnung!S19+Jahresabrechnung!AI19))</f>
        <v/>
      </c>
      <c r="U15" s="118"/>
    </row>
    <row r="16" spans="1:36" s="38" customFormat="1" ht="15" customHeight="1" x14ac:dyDescent="0.2">
      <c r="A16" s="335" t="str">
        <f>INDEX(EB.Monate.Bereich,6,0)</f>
        <v>Juni</v>
      </c>
      <c r="B16" s="66" t="str">
        <f>IF(B$9="","",IF(EB.Anwendung&lt;&gt;"",IF(INDEX(Juni!Monat.ProjekteTotal.Bereich,B$8)&lt;=0,0,INDEX(Juni!Monat.ProjekteTotal.Bereich,B$8)),""))</f>
        <v/>
      </c>
      <c r="C16" s="66" t="str">
        <f>IF(C$9="","",IF(EB.Anwendung&lt;&gt;"",IF(INDEX(Juni!Monat.ProjekteTotal.Bereich,C$8)&lt;=0,0,INDEX(Juni!Monat.ProjekteTotal.Bereich,C$8)),""))</f>
        <v/>
      </c>
      <c r="D16" s="66" t="str">
        <f>IF(D$9="","",IF(EB.Anwendung&lt;&gt;"",IF(INDEX(Juni!Monat.ProjekteTotal.Bereich,D$8)&lt;=0,0,INDEX(Juni!Monat.ProjekteTotal.Bereich,D$8)),""))</f>
        <v/>
      </c>
      <c r="E16" s="66" t="str">
        <f>IF(E$9="","",IF(EB.Anwendung&lt;&gt;"",IF(INDEX(Juni!Monat.ProjekteTotal.Bereich,E$8)&lt;=0,0,INDEX(Juni!Monat.ProjekteTotal.Bereich,E$8)),""))</f>
        <v/>
      </c>
      <c r="F16" s="66" t="str">
        <f>IF(F$9="","",IF(EB.Anwendung&lt;&gt;"",IF(INDEX(Juni!Monat.ProjekteTotal.Bereich,F$8)&lt;=0,0,INDEX(Juni!Monat.ProjekteTotal.Bereich,F$8)),""))</f>
        <v/>
      </c>
      <c r="G16" s="66" t="str">
        <f>IF(G$9="","",IF(EB.Anwendung&lt;&gt;"",IF(INDEX(Juni!Monat.ProjekteTotal.Bereich,G$8)&lt;=0,0,INDEX(Juni!Monat.ProjekteTotal.Bereich,G$8)),""))</f>
        <v/>
      </c>
      <c r="H16" s="66" t="str">
        <f>IF(H$9="","",IF(EB.Anwendung&lt;&gt;"",IF(INDEX(Juni!Monat.ProjekteTotal.Bereich,H$8)&lt;=0,0,INDEX(Juni!Monat.ProjekteTotal.Bereich,H$8)),""))</f>
        <v/>
      </c>
      <c r="I16" s="66" t="str">
        <f>IF(I$9="","",IF(EB.Anwendung&lt;&gt;"",IF(INDEX(Juni!Monat.ProjekteTotal.Bereich,I$8)&lt;=0,0,INDEX(Juni!Monat.ProjekteTotal.Bereich,I$8)),""))</f>
        <v/>
      </c>
      <c r="J16" s="66" t="str">
        <f>IF(J$9="","",IF(EB.Anwendung&lt;&gt;"",IF(INDEX(Juni!Monat.ProjekteTotal.Bereich,J$8)&lt;=0,0,INDEX(Juni!Monat.ProjekteTotal.Bereich,J$8)),""))</f>
        <v/>
      </c>
      <c r="K16" s="66" t="str">
        <f>IF(K$9="","",IF(EB.Anwendung&lt;&gt;"",IF(INDEX(Juni!Monat.ProjekteTotal.Bereich,K$8)&lt;=0,0,INDEX(Juni!Monat.ProjekteTotal.Bereich,K$8)),""))</f>
        <v/>
      </c>
      <c r="L16" s="66" t="str">
        <f>IF(L$9="","",IF(EB.Anwendung&lt;&gt;"",IF(INDEX(Juni!Monat.ProjekteTotal.Bereich,L$8)&lt;=0,0,INDEX(Juni!Monat.ProjekteTotal.Bereich,L$8)),""))</f>
        <v/>
      </c>
      <c r="M16" s="66" t="str">
        <f>IF(M$9="","",IF(EB.Anwendung&lt;&gt;"",IF(INDEX(Juni!Monat.ProjekteTotal.Bereich,M$8)&lt;=0,0,INDEX(Juni!Monat.ProjekteTotal.Bereich,M$8)),""))</f>
        <v/>
      </c>
      <c r="N16" s="66" t="str">
        <f>IF(N$9="","",IF(EB.Anwendung&lt;&gt;"",IF(INDEX(Juni!Monat.ProjekteTotal.Bereich,N$8)&lt;=0,0,INDEX(Juni!Monat.ProjekteTotal.Bereich,N$8)),""))</f>
        <v/>
      </c>
      <c r="O16" s="66" t="str">
        <f>IF(O$9="","",IF(EB.Anwendung&lt;&gt;"",IF(INDEX(Juni!Monat.ProjekteTotal.Bereich,O$8)&lt;=0,0,INDEX(Juni!Monat.ProjekteTotal.Bereich,O$8)),""))</f>
        <v/>
      </c>
      <c r="P16" s="66" t="str">
        <f>IF(P$9="","",IF(EB.Anwendung&lt;&gt;"",IF(INDEX(Juni!Monat.ProjekteTotal.Bereich,P$8)&lt;=0,0,INDEX(Juni!Monat.ProjekteTotal.Bereich,P$8)),""))</f>
        <v/>
      </c>
      <c r="Q16" s="118"/>
      <c r="R16" s="336">
        <f t="shared" si="1"/>
        <v>0</v>
      </c>
      <c r="S16" s="118"/>
      <c r="T16" s="356" t="str">
        <f ca="1">IF(Jahresabrechnung!AO20+Jahresabrechnung!S20+Jahresabrechnung!AI20=0,"",R16/(Jahresabrechnung!AO20+Jahresabrechnung!S20+Jahresabrechnung!AI20))</f>
        <v/>
      </c>
      <c r="U16" s="118"/>
    </row>
    <row r="17" spans="1:21" s="38" customFormat="1" ht="15" customHeight="1" x14ac:dyDescent="0.2">
      <c r="A17" s="335" t="str">
        <f>INDEX(EB.Monate.Bereich,7,0)</f>
        <v>Juli</v>
      </c>
      <c r="B17" s="66" t="str">
        <f>IF(B$9="","",IF(EB.Anwendung&lt;&gt;"",IF(INDEX(Juli!Monat.ProjekteTotal.Bereich,B$8)&lt;=0,0,INDEX(Juli!Monat.ProjekteTotal.Bereich,B$8)),""))</f>
        <v/>
      </c>
      <c r="C17" s="66" t="str">
        <f>IF(C$9="","",IF(EB.Anwendung&lt;&gt;"",IF(INDEX(Juli!Monat.ProjekteTotal.Bereich,C$8)&lt;=0,0,INDEX(Juli!Monat.ProjekteTotal.Bereich,C$8)),""))</f>
        <v/>
      </c>
      <c r="D17" s="66" t="str">
        <f>IF(D$9="","",IF(EB.Anwendung&lt;&gt;"",IF(INDEX(Juli!Monat.ProjekteTotal.Bereich,D$8)&lt;=0,0,INDEX(Juli!Monat.ProjekteTotal.Bereich,D$8)),""))</f>
        <v/>
      </c>
      <c r="E17" s="66" t="str">
        <f>IF(E$9="","",IF(EB.Anwendung&lt;&gt;"",IF(INDEX(Juli!Monat.ProjekteTotal.Bereich,E$8)&lt;=0,0,INDEX(Juli!Monat.ProjekteTotal.Bereich,E$8)),""))</f>
        <v/>
      </c>
      <c r="F17" s="66" t="str">
        <f>IF(F$9="","",IF(EB.Anwendung&lt;&gt;"",IF(INDEX(Juli!Monat.ProjekteTotal.Bereich,F$8)&lt;=0,0,INDEX(Juli!Monat.ProjekteTotal.Bereich,F$8)),""))</f>
        <v/>
      </c>
      <c r="G17" s="66" t="str">
        <f>IF(G$9="","",IF(EB.Anwendung&lt;&gt;"",IF(INDEX(Juli!Monat.ProjekteTotal.Bereich,G$8)&lt;=0,0,INDEX(Juli!Monat.ProjekteTotal.Bereich,G$8)),""))</f>
        <v/>
      </c>
      <c r="H17" s="66" t="str">
        <f>IF(H$9="","",IF(EB.Anwendung&lt;&gt;"",IF(INDEX(Juli!Monat.ProjekteTotal.Bereich,H$8)&lt;=0,0,INDEX(Juli!Monat.ProjekteTotal.Bereich,H$8)),""))</f>
        <v/>
      </c>
      <c r="I17" s="66" t="str">
        <f>IF(I$9="","",IF(EB.Anwendung&lt;&gt;"",IF(INDEX(Juli!Monat.ProjekteTotal.Bereich,I$8)&lt;=0,0,INDEX(Juli!Monat.ProjekteTotal.Bereich,I$8)),""))</f>
        <v/>
      </c>
      <c r="J17" s="66" t="str">
        <f>IF(J$9="","",IF(EB.Anwendung&lt;&gt;"",IF(INDEX(Juli!Monat.ProjekteTotal.Bereich,J$8)&lt;=0,0,INDEX(Juli!Monat.ProjekteTotal.Bereich,J$8)),""))</f>
        <v/>
      </c>
      <c r="K17" s="66" t="str">
        <f>IF(K$9="","",IF(EB.Anwendung&lt;&gt;"",IF(INDEX(Juli!Monat.ProjekteTotal.Bereich,K$8)&lt;=0,0,INDEX(Juli!Monat.ProjekteTotal.Bereich,K$8)),""))</f>
        <v/>
      </c>
      <c r="L17" s="66" t="str">
        <f>IF(L$9="","",IF(EB.Anwendung&lt;&gt;"",IF(INDEX(Juli!Monat.ProjekteTotal.Bereich,L$8)&lt;=0,0,INDEX(Juli!Monat.ProjekteTotal.Bereich,L$8)),""))</f>
        <v/>
      </c>
      <c r="M17" s="66" t="str">
        <f>IF(M$9="","",IF(EB.Anwendung&lt;&gt;"",IF(INDEX(Juli!Monat.ProjekteTotal.Bereich,M$8)&lt;=0,0,INDEX(Juli!Monat.ProjekteTotal.Bereich,M$8)),""))</f>
        <v/>
      </c>
      <c r="N17" s="66" t="str">
        <f>IF(N$9="","",IF(EB.Anwendung&lt;&gt;"",IF(INDEX(Juli!Monat.ProjekteTotal.Bereich,N$8)&lt;=0,0,INDEX(Juli!Monat.ProjekteTotal.Bereich,N$8)),""))</f>
        <v/>
      </c>
      <c r="O17" s="66" t="str">
        <f>IF(O$9="","",IF(EB.Anwendung&lt;&gt;"",IF(INDEX(Juli!Monat.ProjekteTotal.Bereich,O$8)&lt;=0,0,INDEX(Juli!Monat.ProjekteTotal.Bereich,O$8)),""))</f>
        <v/>
      </c>
      <c r="P17" s="66" t="str">
        <f>IF(P$9="","",IF(EB.Anwendung&lt;&gt;"",IF(INDEX(Juli!Monat.ProjekteTotal.Bereich,P$8)&lt;=0,0,INDEX(Juli!Monat.ProjekteTotal.Bereich,P$8)),""))</f>
        <v/>
      </c>
      <c r="Q17" s="118"/>
      <c r="R17" s="336">
        <f t="shared" si="1"/>
        <v>0</v>
      </c>
      <c r="S17" s="118"/>
      <c r="T17" s="356" t="str">
        <f ca="1">IF(Jahresabrechnung!AO21+Jahresabrechnung!S21+Jahresabrechnung!AI21=0,"",R17/(Jahresabrechnung!AO21+Jahresabrechnung!S21+Jahresabrechnung!AI21))</f>
        <v/>
      </c>
      <c r="U17" s="118"/>
    </row>
    <row r="18" spans="1:21" s="38" customFormat="1" ht="15" customHeight="1" x14ac:dyDescent="0.2">
      <c r="A18" s="335" t="str">
        <f>INDEX(EB.Monate.Bereich,8,0)</f>
        <v>August</v>
      </c>
      <c r="B18" s="66" t="str">
        <f>IF(B$9="","",IF(EB.Anwendung&lt;&gt;"",IF(INDEX(August!Monat.ProjekteTotal.Bereich,B$8)&lt;=0,0,INDEX(August!Monat.ProjekteTotal.Bereich,B$8)),""))</f>
        <v/>
      </c>
      <c r="C18" s="66" t="str">
        <f>IF(C$9="","",IF(EB.Anwendung&lt;&gt;"",IF(INDEX(August!Monat.ProjekteTotal.Bereich,C$8)&lt;=0,0,INDEX(August!Monat.ProjekteTotal.Bereich,C$8)),""))</f>
        <v/>
      </c>
      <c r="D18" s="66" t="str">
        <f>IF(D$9="","",IF(EB.Anwendung&lt;&gt;"",IF(INDEX(August!Monat.ProjekteTotal.Bereich,D$8)&lt;=0,0,INDEX(August!Monat.ProjekteTotal.Bereich,D$8)),""))</f>
        <v/>
      </c>
      <c r="E18" s="66" t="str">
        <f>IF(E$9="","",IF(EB.Anwendung&lt;&gt;"",IF(INDEX(August!Monat.ProjekteTotal.Bereich,E$8)&lt;=0,0,INDEX(August!Monat.ProjekteTotal.Bereich,E$8)),""))</f>
        <v/>
      </c>
      <c r="F18" s="66" t="str">
        <f>IF(F$9="","",IF(EB.Anwendung&lt;&gt;"",IF(INDEX(August!Monat.ProjekteTotal.Bereich,F$8)&lt;=0,0,INDEX(August!Monat.ProjekteTotal.Bereich,F$8)),""))</f>
        <v/>
      </c>
      <c r="G18" s="66" t="str">
        <f>IF(G$9="","",IF(EB.Anwendung&lt;&gt;"",IF(INDEX(August!Monat.ProjekteTotal.Bereich,G$8)&lt;=0,0,INDEX(August!Monat.ProjekteTotal.Bereich,G$8)),""))</f>
        <v/>
      </c>
      <c r="H18" s="66" t="str">
        <f>IF(H$9="","",IF(EB.Anwendung&lt;&gt;"",IF(INDEX(August!Monat.ProjekteTotal.Bereich,H$8)&lt;=0,0,INDEX(August!Monat.ProjekteTotal.Bereich,H$8)),""))</f>
        <v/>
      </c>
      <c r="I18" s="66" t="str">
        <f>IF(I$9="","",IF(EB.Anwendung&lt;&gt;"",IF(INDEX(August!Monat.ProjekteTotal.Bereich,I$8)&lt;=0,0,INDEX(August!Monat.ProjekteTotal.Bereich,I$8)),""))</f>
        <v/>
      </c>
      <c r="J18" s="66" t="str">
        <f>IF(J$9="","",IF(EB.Anwendung&lt;&gt;"",IF(INDEX(August!Monat.ProjekteTotal.Bereich,J$8)&lt;=0,0,INDEX(August!Monat.ProjekteTotal.Bereich,J$8)),""))</f>
        <v/>
      </c>
      <c r="K18" s="66" t="str">
        <f>IF(K$9="","",IF(EB.Anwendung&lt;&gt;"",IF(INDEX(August!Monat.ProjekteTotal.Bereich,K$8)&lt;=0,0,INDEX(August!Monat.ProjekteTotal.Bereich,K$8)),""))</f>
        <v/>
      </c>
      <c r="L18" s="66" t="str">
        <f>IF(L$9="","",IF(EB.Anwendung&lt;&gt;"",IF(INDEX(August!Monat.ProjekteTotal.Bereich,L$8)&lt;=0,0,INDEX(August!Monat.ProjekteTotal.Bereich,L$8)),""))</f>
        <v/>
      </c>
      <c r="M18" s="66" t="str">
        <f>IF(M$9="","",IF(EB.Anwendung&lt;&gt;"",IF(INDEX(August!Monat.ProjekteTotal.Bereich,M$8)&lt;=0,0,INDEX(August!Monat.ProjekteTotal.Bereich,M$8)),""))</f>
        <v/>
      </c>
      <c r="N18" s="66" t="str">
        <f>IF(N$9="","",IF(EB.Anwendung&lt;&gt;"",IF(INDEX(August!Monat.ProjekteTotal.Bereich,N$8)&lt;=0,0,INDEX(August!Monat.ProjekteTotal.Bereich,N$8)),""))</f>
        <v/>
      </c>
      <c r="O18" s="66" t="str">
        <f>IF(O$9="","",IF(EB.Anwendung&lt;&gt;"",IF(INDEX(August!Monat.ProjekteTotal.Bereich,O$8)&lt;=0,0,INDEX(August!Monat.ProjekteTotal.Bereich,O$8)),""))</f>
        <v/>
      </c>
      <c r="P18" s="66" t="str">
        <f>IF(P$9="","",IF(EB.Anwendung&lt;&gt;"",IF(INDEX(August!Monat.ProjekteTotal.Bereich,P$8)&lt;=0,0,INDEX(August!Monat.ProjekteTotal.Bereich,P$8)),""))</f>
        <v/>
      </c>
      <c r="Q18" s="118"/>
      <c r="R18" s="336">
        <f t="shared" si="1"/>
        <v>0</v>
      </c>
      <c r="S18" s="118"/>
      <c r="T18" s="356" t="str">
        <f ca="1">IF(Jahresabrechnung!AO22+Jahresabrechnung!S22+Jahresabrechnung!AI22=0,"",R18/(Jahresabrechnung!AO22+Jahresabrechnung!S22+Jahresabrechnung!AI22))</f>
        <v/>
      </c>
      <c r="U18" s="118"/>
    </row>
    <row r="19" spans="1:21" s="38" customFormat="1" ht="15" customHeight="1" x14ac:dyDescent="0.2">
      <c r="A19" s="335" t="str">
        <f>INDEX(EB.Monate.Bereich,9,0)</f>
        <v>September</v>
      </c>
      <c r="B19" s="66" t="str">
        <f>IF(B$9="","",IF(EB.Anwendung&lt;&gt;"",IF(INDEX(September!Monat.ProjekteTotal.Bereich,B$8)&lt;=0,0,INDEX(September!Monat.ProjekteTotal.Bereich,B$8)),""))</f>
        <v/>
      </c>
      <c r="C19" s="66" t="str">
        <f>IF(C$9="","",IF(EB.Anwendung&lt;&gt;"",IF(INDEX(September!Monat.ProjekteTotal.Bereich,C$8)&lt;=0,0,INDEX(September!Monat.ProjekteTotal.Bereich,C$8)),""))</f>
        <v/>
      </c>
      <c r="D19" s="66" t="str">
        <f>IF(D$9="","",IF(EB.Anwendung&lt;&gt;"",IF(INDEX(September!Monat.ProjekteTotal.Bereich,D$8)&lt;=0,0,INDEX(September!Monat.ProjekteTotal.Bereich,D$8)),""))</f>
        <v/>
      </c>
      <c r="E19" s="66" t="str">
        <f>IF(E$9="","",IF(EB.Anwendung&lt;&gt;"",IF(INDEX(September!Monat.ProjekteTotal.Bereich,E$8)&lt;=0,0,INDEX(September!Monat.ProjekteTotal.Bereich,E$8)),""))</f>
        <v/>
      </c>
      <c r="F19" s="66" t="str">
        <f>IF(F$9="","",IF(EB.Anwendung&lt;&gt;"",IF(INDEX(September!Monat.ProjekteTotal.Bereich,F$8)&lt;=0,0,INDEX(September!Monat.ProjekteTotal.Bereich,F$8)),""))</f>
        <v/>
      </c>
      <c r="G19" s="66" t="str">
        <f>IF(G$9="","",IF(EB.Anwendung&lt;&gt;"",IF(INDEX(September!Monat.ProjekteTotal.Bereich,G$8)&lt;=0,0,INDEX(September!Monat.ProjekteTotal.Bereich,G$8)),""))</f>
        <v/>
      </c>
      <c r="H19" s="66" t="str">
        <f>IF(H$9="","",IF(EB.Anwendung&lt;&gt;"",IF(INDEX(September!Monat.ProjekteTotal.Bereich,H$8)&lt;=0,0,INDEX(September!Monat.ProjekteTotal.Bereich,H$8)),""))</f>
        <v/>
      </c>
      <c r="I19" s="66" t="str">
        <f>IF(I$9="","",IF(EB.Anwendung&lt;&gt;"",IF(INDEX(September!Monat.ProjekteTotal.Bereich,I$8)&lt;=0,0,INDEX(September!Monat.ProjekteTotal.Bereich,I$8)),""))</f>
        <v/>
      </c>
      <c r="J19" s="66" t="str">
        <f>IF(J$9="","",IF(EB.Anwendung&lt;&gt;"",IF(INDEX(September!Monat.ProjekteTotal.Bereich,J$8)&lt;=0,0,INDEX(September!Monat.ProjekteTotal.Bereich,J$8)),""))</f>
        <v/>
      </c>
      <c r="K19" s="66" t="str">
        <f>IF(K$9="","",IF(EB.Anwendung&lt;&gt;"",IF(INDEX(September!Monat.ProjekteTotal.Bereich,K$8)&lt;=0,0,INDEX(September!Monat.ProjekteTotal.Bereich,K$8)),""))</f>
        <v/>
      </c>
      <c r="L19" s="66" t="str">
        <f>IF(L$9="","",IF(EB.Anwendung&lt;&gt;"",IF(INDEX(September!Monat.ProjekteTotal.Bereich,L$8)&lt;=0,0,INDEX(September!Monat.ProjekteTotal.Bereich,L$8)),""))</f>
        <v/>
      </c>
      <c r="M19" s="66" t="str">
        <f>IF(M$9="","",IF(EB.Anwendung&lt;&gt;"",IF(INDEX(September!Monat.ProjekteTotal.Bereich,M$8)&lt;=0,0,INDEX(September!Monat.ProjekteTotal.Bereich,M$8)),""))</f>
        <v/>
      </c>
      <c r="N19" s="66" t="str">
        <f>IF(N$9="","",IF(EB.Anwendung&lt;&gt;"",IF(INDEX(September!Monat.ProjekteTotal.Bereich,N$8)&lt;=0,0,INDEX(September!Monat.ProjekteTotal.Bereich,N$8)),""))</f>
        <v/>
      </c>
      <c r="O19" s="66" t="str">
        <f>IF(O$9="","",IF(EB.Anwendung&lt;&gt;"",IF(INDEX(September!Monat.ProjekteTotal.Bereich,O$8)&lt;=0,0,INDEX(September!Monat.ProjekteTotal.Bereich,O$8)),""))</f>
        <v/>
      </c>
      <c r="P19" s="66" t="str">
        <f>IF(P$9="","",IF(EB.Anwendung&lt;&gt;"",IF(INDEX(September!Monat.ProjekteTotal.Bereich,P$8)&lt;=0,0,INDEX(September!Monat.ProjekteTotal.Bereich,P$8)),""))</f>
        <v/>
      </c>
      <c r="Q19" s="118"/>
      <c r="R19" s="336">
        <f t="shared" si="1"/>
        <v>0</v>
      </c>
      <c r="S19" s="118"/>
      <c r="T19" s="356" t="str">
        <f ca="1">IF(Jahresabrechnung!AO23+Jahresabrechnung!S23+Jahresabrechnung!AI23=0,"",R19/(Jahresabrechnung!AO23+Jahresabrechnung!S23+Jahresabrechnung!AI23))</f>
        <v/>
      </c>
      <c r="U19" s="118"/>
    </row>
    <row r="20" spans="1:21" s="38" customFormat="1" ht="15" customHeight="1" x14ac:dyDescent="0.2">
      <c r="A20" s="335" t="str">
        <f>INDEX(EB.Monate.Bereich,10,0)</f>
        <v>Oktober</v>
      </c>
      <c r="B20" s="66" t="str">
        <f>IF(B$9="","",IF(EB.Anwendung&lt;&gt;"",IF(INDEX(Oktober!Monat.ProjekteTotal.Bereich,B$8)&lt;=0,0,INDEX(Oktober!Monat.ProjekteTotal.Bereich,B$8)),""))</f>
        <v/>
      </c>
      <c r="C20" s="66" t="str">
        <f>IF(C$9="","",IF(EB.Anwendung&lt;&gt;"",IF(INDEX(Oktober!Monat.ProjekteTotal.Bereich,C$8)&lt;=0,0,INDEX(Oktober!Monat.ProjekteTotal.Bereich,C$8)),""))</f>
        <v/>
      </c>
      <c r="D20" s="66" t="str">
        <f>IF(D$9="","",IF(EB.Anwendung&lt;&gt;"",IF(INDEX(Oktober!Monat.ProjekteTotal.Bereich,D$8)&lt;=0,0,INDEX(Oktober!Monat.ProjekteTotal.Bereich,D$8)),""))</f>
        <v/>
      </c>
      <c r="E20" s="66" t="str">
        <f>IF(E$9="","",IF(EB.Anwendung&lt;&gt;"",IF(INDEX(Oktober!Monat.ProjekteTotal.Bereich,E$8)&lt;=0,0,INDEX(Oktober!Monat.ProjekteTotal.Bereich,E$8)),""))</f>
        <v/>
      </c>
      <c r="F20" s="66" t="str">
        <f>IF(F$9="","",IF(EB.Anwendung&lt;&gt;"",IF(INDEX(Oktober!Monat.ProjekteTotal.Bereich,F$8)&lt;=0,0,INDEX(Oktober!Monat.ProjekteTotal.Bereich,F$8)),""))</f>
        <v/>
      </c>
      <c r="G20" s="66" t="str">
        <f>IF(G$9="","",IF(EB.Anwendung&lt;&gt;"",IF(INDEX(Oktober!Monat.ProjekteTotal.Bereich,G$8)&lt;=0,0,INDEX(Oktober!Monat.ProjekteTotal.Bereich,G$8)),""))</f>
        <v/>
      </c>
      <c r="H20" s="66" t="str">
        <f>IF(H$9="","",IF(EB.Anwendung&lt;&gt;"",IF(INDEX(Oktober!Monat.ProjekteTotal.Bereich,H$8)&lt;=0,0,INDEX(Oktober!Monat.ProjekteTotal.Bereich,H$8)),""))</f>
        <v/>
      </c>
      <c r="I20" s="66" t="str">
        <f>IF(I$9="","",IF(EB.Anwendung&lt;&gt;"",IF(INDEX(Oktober!Monat.ProjekteTotal.Bereich,I$8)&lt;=0,0,INDEX(Oktober!Monat.ProjekteTotal.Bereich,I$8)),""))</f>
        <v/>
      </c>
      <c r="J20" s="66" t="str">
        <f>IF(J$9="","",IF(EB.Anwendung&lt;&gt;"",IF(INDEX(Oktober!Monat.ProjekteTotal.Bereich,J$8)&lt;=0,0,INDEX(Oktober!Monat.ProjekteTotal.Bereich,J$8)),""))</f>
        <v/>
      </c>
      <c r="K20" s="66" t="str">
        <f>IF(K$9="","",IF(EB.Anwendung&lt;&gt;"",IF(INDEX(Oktober!Monat.ProjekteTotal.Bereich,K$8)&lt;=0,0,INDEX(Oktober!Monat.ProjekteTotal.Bereich,K$8)),""))</f>
        <v/>
      </c>
      <c r="L20" s="66" t="str">
        <f>IF(L$9="","",IF(EB.Anwendung&lt;&gt;"",IF(INDEX(Oktober!Monat.ProjekteTotal.Bereich,L$8)&lt;=0,0,INDEX(Oktober!Monat.ProjekteTotal.Bereich,L$8)),""))</f>
        <v/>
      </c>
      <c r="M20" s="66" t="str">
        <f>IF(M$9="","",IF(EB.Anwendung&lt;&gt;"",IF(INDEX(Oktober!Monat.ProjekteTotal.Bereich,M$8)&lt;=0,0,INDEX(Oktober!Monat.ProjekteTotal.Bereich,M$8)),""))</f>
        <v/>
      </c>
      <c r="N20" s="66" t="str">
        <f>IF(N$9="","",IF(EB.Anwendung&lt;&gt;"",IF(INDEX(Oktober!Monat.ProjekteTotal.Bereich,N$8)&lt;=0,0,INDEX(Oktober!Monat.ProjekteTotal.Bereich,N$8)),""))</f>
        <v/>
      </c>
      <c r="O20" s="66" t="str">
        <f>IF(O$9="","",IF(EB.Anwendung&lt;&gt;"",IF(INDEX(Oktober!Monat.ProjekteTotal.Bereich,O$8)&lt;=0,0,INDEX(Oktober!Monat.ProjekteTotal.Bereich,O$8)),""))</f>
        <v/>
      </c>
      <c r="P20" s="66" t="str">
        <f>IF(P$9="","",IF(EB.Anwendung&lt;&gt;"",IF(INDEX(Oktober!Monat.ProjekteTotal.Bereich,P$8)&lt;=0,0,INDEX(Oktober!Monat.ProjekteTotal.Bereich,P$8)),""))</f>
        <v/>
      </c>
      <c r="Q20" s="118"/>
      <c r="R20" s="336">
        <f t="shared" si="1"/>
        <v>0</v>
      </c>
      <c r="S20" s="118"/>
      <c r="T20" s="356" t="str">
        <f ca="1">IF(Jahresabrechnung!AO24+Jahresabrechnung!S24+Jahresabrechnung!AI24=0,"",R20/(Jahresabrechnung!AO24+Jahresabrechnung!S24+Jahresabrechnung!AI24))</f>
        <v/>
      </c>
      <c r="U20" s="118"/>
    </row>
    <row r="21" spans="1:21" s="38" customFormat="1" ht="15" customHeight="1" x14ac:dyDescent="0.2">
      <c r="A21" s="335" t="str">
        <f>INDEX(EB.Monate.Bereich,11,0)</f>
        <v>November</v>
      </c>
      <c r="B21" s="66" t="str">
        <f>IF(B$9="","",IF(EB.Anwendung&lt;&gt;"",IF(INDEX(November!Monat.ProjekteTotal.Bereich,B$8)&lt;=0,0,INDEX(November!Monat.ProjekteTotal.Bereich,B$8)),""))</f>
        <v/>
      </c>
      <c r="C21" s="66" t="str">
        <f>IF(C$9="","",IF(EB.Anwendung&lt;&gt;"",IF(INDEX(November!Monat.ProjekteTotal.Bereich,C$8)&lt;=0,0,INDEX(November!Monat.ProjekteTotal.Bereich,C$8)),""))</f>
        <v/>
      </c>
      <c r="D21" s="66" t="str">
        <f>IF(D$9="","",IF(EB.Anwendung&lt;&gt;"",IF(INDEX(November!Monat.ProjekteTotal.Bereich,D$8)&lt;=0,0,INDEX(November!Monat.ProjekteTotal.Bereich,D$8)),""))</f>
        <v/>
      </c>
      <c r="E21" s="66" t="str">
        <f>IF(E$9="","",IF(EB.Anwendung&lt;&gt;"",IF(INDEX(November!Monat.ProjekteTotal.Bereich,E$8)&lt;=0,0,INDEX(November!Monat.ProjekteTotal.Bereich,E$8)),""))</f>
        <v/>
      </c>
      <c r="F21" s="66" t="str">
        <f>IF(F$9="","",IF(EB.Anwendung&lt;&gt;"",IF(INDEX(November!Monat.ProjekteTotal.Bereich,F$8)&lt;=0,0,INDEX(November!Monat.ProjekteTotal.Bereich,F$8)),""))</f>
        <v/>
      </c>
      <c r="G21" s="66" t="str">
        <f>IF(G$9="","",IF(EB.Anwendung&lt;&gt;"",IF(INDEX(November!Monat.ProjekteTotal.Bereich,G$8)&lt;=0,0,INDEX(November!Monat.ProjekteTotal.Bereich,G$8)),""))</f>
        <v/>
      </c>
      <c r="H21" s="66" t="str">
        <f>IF(H$9="","",IF(EB.Anwendung&lt;&gt;"",IF(INDEX(November!Monat.ProjekteTotal.Bereich,H$8)&lt;=0,0,INDEX(November!Monat.ProjekteTotal.Bereich,H$8)),""))</f>
        <v/>
      </c>
      <c r="I21" s="66" t="str">
        <f>IF(I$9="","",IF(EB.Anwendung&lt;&gt;"",IF(INDEX(November!Monat.ProjekteTotal.Bereich,I$8)&lt;=0,0,INDEX(November!Monat.ProjekteTotal.Bereich,I$8)),""))</f>
        <v/>
      </c>
      <c r="J21" s="66" t="str">
        <f>IF(J$9="","",IF(EB.Anwendung&lt;&gt;"",IF(INDEX(November!Monat.ProjekteTotal.Bereich,J$8)&lt;=0,0,INDEX(November!Monat.ProjekteTotal.Bereich,J$8)),""))</f>
        <v/>
      </c>
      <c r="K21" s="66" t="str">
        <f>IF(K$9="","",IF(EB.Anwendung&lt;&gt;"",IF(INDEX(November!Monat.ProjekteTotal.Bereich,K$8)&lt;=0,0,INDEX(November!Monat.ProjekteTotal.Bereich,K$8)),""))</f>
        <v/>
      </c>
      <c r="L21" s="66" t="str">
        <f>IF(L$9="","",IF(EB.Anwendung&lt;&gt;"",IF(INDEX(November!Monat.ProjekteTotal.Bereich,L$8)&lt;=0,0,INDEX(November!Monat.ProjekteTotal.Bereich,L$8)),""))</f>
        <v/>
      </c>
      <c r="M21" s="66" t="str">
        <f>IF(M$9="","",IF(EB.Anwendung&lt;&gt;"",IF(INDEX(November!Monat.ProjekteTotal.Bereich,M$8)&lt;=0,0,INDEX(November!Monat.ProjekteTotal.Bereich,M$8)),""))</f>
        <v/>
      </c>
      <c r="N21" s="66" t="str">
        <f>IF(N$9="","",IF(EB.Anwendung&lt;&gt;"",IF(INDEX(November!Monat.ProjekteTotal.Bereich,N$8)&lt;=0,0,INDEX(November!Monat.ProjekteTotal.Bereich,N$8)),""))</f>
        <v/>
      </c>
      <c r="O21" s="66" t="str">
        <f>IF(O$9="","",IF(EB.Anwendung&lt;&gt;"",IF(INDEX(November!Monat.ProjekteTotal.Bereich,O$8)&lt;=0,0,INDEX(November!Monat.ProjekteTotal.Bereich,O$8)),""))</f>
        <v/>
      </c>
      <c r="P21" s="66" t="str">
        <f>IF(P$9="","",IF(EB.Anwendung&lt;&gt;"",IF(INDEX(November!Monat.ProjekteTotal.Bereich,P$8)&lt;=0,0,INDEX(November!Monat.ProjekteTotal.Bereich,P$8)),""))</f>
        <v/>
      </c>
      <c r="Q21" s="118"/>
      <c r="R21" s="336">
        <f t="shared" si="1"/>
        <v>0</v>
      </c>
      <c r="S21" s="118"/>
      <c r="T21" s="356" t="str">
        <f ca="1">IF(Jahresabrechnung!AO25+Jahresabrechnung!S25+Jahresabrechnung!AI25=0,"",R21/(Jahresabrechnung!AO25+Jahresabrechnung!S25+Jahresabrechnung!AI25))</f>
        <v/>
      </c>
      <c r="U21" s="118"/>
    </row>
    <row r="22" spans="1:21" s="38" customFormat="1" ht="15" customHeight="1" x14ac:dyDescent="0.2">
      <c r="A22" s="335" t="str">
        <f>INDEX(EB.Monate.Bereich,12,0)</f>
        <v>Dezember</v>
      </c>
      <c r="B22" s="66" t="str">
        <f>IF(B$9="","",IF(EB.Anwendung&lt;&gt;"",IF(INDEX(Dezember!Monat.ProjekteTotal.Bereich,B$8)&lt;=0,0,INDEX(Dezember!Monat.ProjekteTotal.Bereich,B$8)),""))</f>
        <v/>
      </c>
      <c r="C22" s="66" t="str">
        <f>IF(C$9="","",IF(EB.Anwendung&lt;&gt;"",IF(INDEX(Dezember!Monat.ProjekteTotal.Bereich,C$8)&lt;=0,0,INDEX(Dezember!Monat.ProjekteTotal.Bereich,C$8)),""))</f>
        <v/>
      </c>
      <c r="D22" s="66" t="str">
        <f>IF(D$9="","",IF(EB.Anwendung&lt;&gt;"",IF(INDEX(Dezember!Monat.ProjekteTotal.Bereich,D$8)&lt;=0,0,INDEX(Dezember!Monat.ProjekteTotal.Bereich,D$8)),""))</f>
        <v/>
      </c>
      <c r="E22" s="66" t="str">
        <f>IF(E$9="","",IF(EB.Anwendung&lt;&gt;"",IF(INDEX(Dezember!Monat.ProjekteTotal.Bereich,E$8)&lt;=0,0,INDEX(Dezember!Monat.ProjekteTotal.Bereich,E$8)),""))</f>
        <v/>
      </c>
      <c r="F22" s="66" t="str">
        <f>IF(F$9="","",IF(EB.Anwendung&lt;&gt;"",IF(INDEX(Dezember!Monat.ProjekteTotal.Bereich,F$8)&lt;=0,0,INDEX(Dezember!Monat.ProjekteTotal.Bereich,F$8)),""))</f>
        <v/>
      </c>
      <c r="G22" s="66" t="str">
        <f>IF(G$9="","",IF(EB.Anwendung&lt;&gt;"",IF(INDEX(Dezember!Monat.ProjekteTotal.Bereich,G$8)&lt;=0,0,INDEX(Dezember!Monat.ProjekteTotal.Bereich,G$8)),""))</f>
        <v/>
      </c>
      <c r="H22" s="66" t="str">
        <f>IF(H$9="","",IF(EB.Anwendung&lt;&gt;"",IF(INDEX(Dezember!Monat.ProjekteTotal.Bereich,H$8)&lt;=0,0,INDEX(Dezember!Monat.ProjekteTotal.Bereich,H$8)),""))</f>
        <v/>
      </c>
      <c r="I22" s="66" t="str">
        <f>IF(I$9="","",IF(EB.Anwendung&lt;&gt;"",IF(INDEX(Dezember!Monat.ProjekteTotal.Bereich,I$8)&lt;=0,0,INDEX(Dezember!Monat.ProjekteTotal.Bereich,I$8)),""))</f>
        <v/>
      </c>
      <c r="J22" s="66" t="str">
        <f>IF(J$9="","",IF(EB.Anwendung&lt;&gt;"",IF(INDEX(Dezember!Monat.ProjekteTotal.Bereich,J$8)&lt;=0,0,INDEX(Dezember!Monat.ProjekteTotal.Bereich,J$8)),""))</f>
        <v/>
      </c>
      <c r="K22" s="66" t="str">
        <f>IF(K$9="","",IF(EB.Anwendung&lt;&gt;"",IF(INDEX(Dezember!Monat.ProjekteTotal.Bereich,K$8)&lt;=0,0,INDEX(Dezember!Monat.ProjekteTotal.Bereich,K$8)),""))</f>
        <v/>
      </c>
      <c r="L22" s="66" t="str">
        <f>IF(L$9="","",IF(EB.Anwendung&lt;&gt;"",IF(INDEX(Dezember!Monat.ProjekteTotal.Bereich,L$8)&lt;=0,0,INDEX(Dezember!Monat.ProjekteTotal.Bereich,L$8)),""))</f>
        <v/>
      </c>
      <c r="M22" s="66" t="str">
        <f>IF(M$9="","",IF(EB.Anwendung&lt;&gt;"",IF(INDEX(Dezember!Monat.ProjekteTotal.Bereich,M$8)&lt;=0,0,INDEX(Dezember!Monat.ProjekteTotal.Bereich,M$8)),""))</f>
        <v/>
      </c>
      <c r="N22" s="66" t="str">
        <f>IF(N$9="","",IF(EB.Anwendung&lt;&gt;"",IF(INDEX(Dezember!Monat.ProjekteTotal.Bereich,N$8)&lt;=0,0,INDEX(Dezember!Monat.ProjekteTotal.Bereich,N$8)),""))</f>
        <v/>
      </c>
      <c r="O22" s="66" t="str">
        <f>IF(O$9="","",IF(EB.Anwendung&lt;&gt;"",IF(INDEX(Dezember!Monat.ProjekteTotal.Bereich,O$8)&lt;=0,0,INDEX(Dezember!Monat.ProjekteTotal.Bereich,O$8)),""))</f>
        <v/>
      </c>
      <c r="P22" s="66" t="str">
        <f>IF(P$9="","",IF(EB.Anwendung&lt;&gt;"",IF(INDEX(Dezember!Monat.ProjekteTotal.Bereich,P$8)&lt;=0,0,INDEX(Dezember!Monat.ProjekteTotal.Bereich,P$8)),""))</f>
        <v/>
      </c>
      <c r="Q22" s="118"/>
      <c r="R22" s="336">
        <f t="shared" si="1"/>
        <v>0</v>
      </c>
      <c r="S22" s="118"/>
      <c r="T22" s="356" t="str">
        <f ca="1">IF(Jahresabrechnung!AO26+Jahresabrechnung!S26+Jahresabrechnung!AI26=0,"",R22/(Jahresabrechnung!AO26+Jahresabrechnung!S26+Jahresabrechnung!AI26))</f>
        <v/>
      </c>
      <c r="U22" s="118"/>
    </row>
    <row r="23" spans="1:21" s="38" customFormat="1" ht="11.25" customHeigh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90"/>
      <c r="S23" s="118"/>
      <c r="T23" s="357"/>
      <c r="U23" s="118"/>
    </row>
    <row r="24" spans="1:21" s="38" customFormat="1" ht="15" customHeight="1" x14ac:dyDescent="0.2">
      <c r="A24" s="329" t="str">
        <f ca="1">INDEX(T.ProjektartName.Bereich,1)</f>
        <v>Drittmittel / Grants</v>
      </c>
      <c r="B24" s="66" t="str">
        <f t="shared" ref="B24:P28" ca="1" si="2">IFERROR(IF(B$9="","",IF(OFFSET(EB.Projektart.Knoten,B$8,0,1,1)=ROW(B24)-ROW($A$24)+1,SUM(B$11:B$22),0)),"")</f>
        <v/>
      </c>
      <c r="C24" s="66" t="str">
        <f t="shared" ca="1" si="2"/>
        <v/>
      </c>
      <c r="D24" s="66" t="str">
        <f t="shared" ca="1" si="2"/>
        <v/>
      </c>
      <c r="E24" s="66" t="str">
        <f t="shared" ca="1" si="2"/>
        <v/>
      </c>
      <c r="F24" s="66" t="str">
        <f t="shared" ca="1" si="2"/>
        <v/>
      </c>
      <c r="G24" s="66" t="str">
        <f t="shared" ca="1" si="2"/>
        <v/>
      </c>
      <c r="H24" s="66" t="str">
        <f t="shared" ca="1" si="2"/>
        <v/>
      </c>
      <c r="I24" s="66" t="str">
        <f t="shared" ca="1" si="2"/>
        <v/>
      </c>
      <c r="J24" s="66" t="str">
        <f t="shared" ca="1" si="2"/>
        <v/>
      </c>
      <c r="K24" s="66" t="str">
        <f t="shared" ca="1" si="2"/>
        <v/>
      </c>
      <c r="L24" s="66" t="str">
        <f t="shared" ca="1" si="2"/>
        <v/>
      </c>
      <c r="M24" s="66" t="str">
        <f t="shared" ca="1" si="2"/>
        <v/>
      </c>
      <c r="N24" s="66" t="str">
        <f t="shared" ca="1" si="2"/>
        <v/>
      </c>
      <c r="O24" s="66" t="str">
        <f t="shared" ca="1" si="2"/>
        <v/>
      </c>
      <c r="P24" s="66" t="str">
        <f t="shared" ca="1" si="2"/>
        <v/>
      </c>
      <c r="Q24" s="118"/>
      <c r="R24" s="336">
        <f t="shared" ref="R24:R32" ca="1" si="3">SUM(B24:P24)</f>
        <v>0</v>
      </c>
      <c r="S24" s="118"/>
      <c r="T24" s="356" t="str">
        <f ca="1">IF(Jahr.ein_aus.Total+Jahr.ein_aus_Pikett.Total+Jahr.WB.Total=0,"",R24/(Jahr.ein_aus.Total+Jahr.ein_aus_Pikett.Total+Jahr.WB.Total))</f>
        <v/>
      </c>
      <c r="U24" s="118"/>
    </row>
    <row r="25" spans="1:21" s="38" customFormat="1" ht="15" customHeight="1" x14ac:dyDescent="0.2">
      <c r="A25" s="329" t="str">
        <f ca="1">INDEX(T.ProjektartName.Bereich,2)</f>
        <v>Nationalfonds / National Foundation</v>
      </c>
      <c r="B25" s="66" t="str">
        <f t="shared" ca="1" si="2"/>
        <v/>
      </c>
      <c r="C25" s="66" t="str">
        <f t="shared" ca="1" si="2"/>
        <v/>
      </c>
      <c r="D25" s="66" t="str">
        <f t="shared" ca="1" si="2"/>
        <v/>
      </c>
      <c r="E25" s="66" t="str">
        <f t="shared" ca="1" si="2"/>
        <v/>
      </c>
      <c r="F25" s="66" t="str">
        <f t="shared" ca="1" si="2"/>
        <v/>
      </c>
      <c r="G25" s="66" t="str">
        <f t="shared" ca="1" si="2"/>
        <v/>
      </c>
      <c r="H25" s="66" t="str">
        <f t="shared" ca="1" si="2"/>
        <v/>
      </c>
      <c r="I25" s="66" t="str">
        <f t="shared" ca="1" si="2"/>
        <v/>
      </c>
      <c r="J25" s="66" t="str">
        <f t="shared" ca="1" si="2"/>
        <v/>
      </c>
      <c r="K25" s="66" t="str">
        <f t="shared" ca="1" si="2"/>
        <v/>
      </c>
      <c r="L25" s="66" t="str">
        <f t="shared" ca="1" si="2"/>
        <v/>
      </c>
      <c r="M25" s="66" t="str">
        <f t="shared" ca="1" si="2"/>
        <v/>
      </c>
      <c r="N25" s="66" t="str">
        <f t="shared" ca="1" si="2"/>
        <v/>
      </c>
      <c r="O25" s="66" t="str">
        <f t="shared" ca="1" si="2"/>
        <v/>
      </c>
      <c r="P25" s="66" t="str">
        <f t="shared" ca="1" si="2"/>
        <v/>
      </c>
      <c r="Q25" s="118"/>
      <c r="R25" s="336">
        <f t="shared" ca="1" si="3"/>
        <v>0</v>
      </c>
      <c r="S25" s="118"/>
      <c r="T25" s="356" t="str">
        <f ca="1">IF(Jahr.ein_aus.Total+Jahr.ein_aus_Pikett.Total+Jahr.WB.Total=0,"",R25/(Jahr.ein_aus.Total+Jahr.ein_aus_Pikett.Total+Jahr.WB.Total))</f>
        <v/>
      </c>
      <c r="U25" s="118"/>
    </row>
    <row r="26" spans="1:21" s="38" customFormat="1" ht="15" customHeight="1" x14ac:dyDescent="0.2">
      <c r="A26" s="329" t="str">
        <f ca="1">INDEX(T.ProjektartName.Bereich,3)</f>
        <v>E-/Q Projekte / E-/Q Projects</v>
      </c>
      <c r="B26" s="66" t="str">
        <f t="shared" ca="1" si="2"/>
        <v/>
      </c>
      <c r="C26" s="66" t="str">
        <f t="shared" ca="1" si="2"/>
        <v/>
      </c>
      <c r="D26" s="66" t="str">
        <f t="shared" ca="1" si="2"/>
        <v/>
      </c>
      <c r="E26" s="66" t="str">
        <f t="shared" ca="1" si="2"/>
        <v/>
      </c>
      <c r="F26" s="66" t="str">
        <f t="shared" ca="1" si="2"/>
        <v/>
      </c>
      <c r="G26" s="66" t="str">
        <f t="shared" ca="1" si="2"/>
        <v/>
      </c>
      <c r="H26" s="66" t="str">
        <f t="shared" ca="1" si="2"/>
        <v/>
      </c>
      <c r="I26" s="66" t="str">
        <f t="shared" ca="1" si="2"/>
        <v/>
      </c>
      <c r="J26" s="66" t="str">
        <f t="shared" ca="1" si="2"/>
        <v/>
      </c>
      <c r="K26" s="66" t="str">
        <f t="shared" ca="1" si="2"/>
        <v/>
      </c>
      <c r="L26" s="66" t="str">
        <f t="shared" ca="1" si="2"/>
        <v/>
      </c>
      <c r="M26" s="66" t="str">
        <f t="shared" ca="1" si="2"/>
        <v/>
      </c>
      <c r="N26" s="66" t="str">
        <f t="shared" ca="1" si="2"/>
        <v/>
      </c>
      <c r="O26" s="66" t="str">
        <f t="shared" ca="1" si="2"/>
        <v/>
      </c>
      <c r="P26" s="66" t="str">
        <f t="shared" ca="1" si="2"/>
        <v/>
      </c>
      <c r="Q26" s="118"/>
      <c r="R26" s="336">
        <f t="shared" ca="1" si="3"/>
        <v>0</v>
      </c>
      <c r="S26" s="118"/>
      <c r="T26" s="356" t="str">
        <f ca="1">IF(Jahr.ein_aus.Total+Jahr.ein_aus_Pikett.Total+Jahr.WB.Total=0,"",R26/(Jahr.ein_aus.Total+Jahr.ein_aus_Pikett.Total+Jahr.WB.Total))</f>
        <v/>
      </c>
      <c r="U26" s="118"/>
    </row>
    <row r="27" spans="1:21" s="38" customFormat="1" ht="15" customHeight="1" x14ac:dyDescent="0.2">
      <c r="A27" s="329" t="str">
        <f ca="1">INDEX(T.ProjektartName.Bereich,4)</f>
        <v>Uni / University</v>
      </c>
      <c r="B27" s="66" t="str">
        <f t="shared" ca="1" si="2"/>
        <v/>
      </c>
      <c r="C27" s="66" t="str">
        <f t="shared" ca="1" si="2"/>
        <v/>
      </c>
      <c r="D27" s="66" t="str">
        <f t="shared" ca="1" si="2"/>
        <v/>
      </c>
      <c r="E27" s="66" t="str">
        <f t="shared" ca="1" si="2"/>
        <v/>
      </c>
      <c r="F27" s="66" t="str">
        <f t="shared" ca="1" si="2"/>
        <v/>
      </c>
      <c r="G27" s="66" t="str">
        <f t="shared" ca="1" si="2"/>
        <v/>
      </c>
      <c r="H27" s="66" t="str">
        <f t="shared" ca="1" si="2"/>
        <v/>
      </c>
      <c r="I27" s="66" t="str">
        <f t="shared" ca="1" si="2"/>
        <v/>
      </c>
      <c r="J27" s="66" t="str">
        <f t="shared" ca="1" si="2"/>
        <v/>
      </c>
      <c r="K27" s="66" t="str">
        <f t="shared" ca="1" si="2"/>
        <v/>
      </c>
      <c r="L27" s="66" t="str">
        <f t="shared" ca="1" si="2"/>
        <v/>
      </c>
      <c r="M27" s="66" t="str">
        <f t="shared" ca="1" si="2"/>
        <v/>
      </c>
      <c r="N27" s="66" t="str">
        <f t="shared" ca="1" si="2"/>
        <v/>
      </c>
      <c r="O27" s="66" t="str">
        <f t="shared" ca="1" si="2"/>
        <v/>
      </c>
      <c r="P27" s="66" t="str">
        <f t="shared" ca="1" si="2"/>
        <v/>
      </c>
      <c r="Q27" s="118"/>
      <c r="R27" s="336">
        <f t="shared" ca="1" si="3"/>
        <v>0</v>
      </c>
      <c r="S27" s="118"/>
      <c r="T27" s="356" t="str">
        <f ca="1">IF(Jahr.ein_aus.Total+Jahr.ein_aus_Pikett.Total+Jahr.WB.Total=0,"",R27/(Jahr.ein_aus.Total+Jahr.ein_aus_Pikett.Total+Jahr.WB.Total))</f>
        <v/>
      </c>
      <c r="U27" s="118"/>
    </row>
    <row r="28" spans="1:21" s="38" customFormat="1" ht="15" customHeight="1" x14ac:dyDescent="0.2">
      <c r="A28" s="329" t="str">
        <f ca="1">INDEX(T.ProjektartName.Bereich,5)</f>
        <v>Andere / Other</v>
      </c>
      <c r="B28" s="66" t="str">
        <f t="shared" ca="1" si="2"/>
        <v/>
      </c>
      <c r="C28" s="66" t="str">
        <f t="shared" ca="1" si="2"/>
        <v/>
      </c>
      <c r="D28" s="66" t="str">
        <f t="shared" ca="1" si="2"/>
        <v/>
      </c>
      <c r="E28" s="66" t="str">
        <f t="shared" ca="1" si="2"/>
        <v/>
      </c>
      <c r="F28" s="66" t="str">
        <f t="shared" ca="1" si="2"/>
        <v/>
      </c>
      <c r="G28" s="66" t="str">
        <f t="shared" ca="1" si="2"/>
        <v/>
      </c>
      <c r="H28" s="66" t="str">
        <f t="shared" ca="1" si="2"/>
        <v/>
      </c>
      <c r="I28" s="66" t="str">
        <f t="shared" ca="1" si="2"/>
        <v/>
      </c>
      <c r="J28" s="66" t="str">
        <f t="shared" ca="1" si="2"/>
        <v/>
      </c>
      <c r="K28" s="66" t="str">
        <f t="shared" ca="1" si="2"/>
        <v/>
      </c>
      <c r="L28" s="66" t="str">
        <f t="shared" ca="1" si="2"/>
        <v/>
      </c>
      <c r="M28" s="66" t="str">
        <f t="shared" ca="1" si="2"/>
        <v/>
      </c>
      <c r="N28" s="66" t="str">
        <f t="shared" ca="1" si="2"/>
        <v/>
      </c>
      <c r="O28" s="66" t="str">
        <f t="shared" ca="1" si="2"/>
        <v/>
      </c>
      <c r="P28" s="66" t="str">
        <f t="shared" ca="1" si="2"/>
        <v/>
      </c>
      <c r="Q28" s="118"/>
      <c r="R28" s="336">
        <f t="shared" ca="1" si="3"/>
        <v>0</v>
      </c>
      <c r="S28" s="118"/>
      <c r="T28" s="356" t="str">
        <f ca="1">IF(Jahr.ein_aus.Total+Jahr.ein_aus_Pikett.Total+Jahr.WB.Total=0,"",R28/(Jahr.ein_aus.Total+Jahr.ein_aus_Pikett.Total+Jahr.WB.Total))</f>
        <v/>
      </c>
      <c r="U28" s="118"/>
    </row>
    <row r="29" spans="1:21" s="38" customFormat="1" ht="11.25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90"/>
      <c r="S29" s="118"/>
      <c r="T29" s="357"/>
      <c r="U29" s="118"/>
    </row>
    <row r="30" spans="1:21" s="38" customFormat="1" ht="15" customHeight="1" x14ac:dyDescent="0.2">
      <c r="A30" s="329" t="str">
        <f ca="1">INDEX(T.ProjektartName.Bereich,6)</f>
        <v>Arbeitstätigkeiten / Working Activities</v>
      </c>
      <c r="B30" s="66" t="str">
        <f t="shared" ref="B30:P31" ca="1" si="4">IFERROR(IF(B$9="","",IF(OFFSET(EB.Projektart.Knoten,B$8,0,1,1)=ROW(B30)-ROW($A$24),SUM(B$11:B$22),0)),"")</f>
        <v/>
      </c>
      <c r="C30" s="66" t="str">
        <f t="shared" ca="1" si="4"/>
        <v/>
      </c>
      <c r="D30" s="66" t="str">
        <f t="shared" ca="1" si="4"/>
        <v/>
      </c>
      <c r="E30" s="66" t="str">
        <f t="shared" ca="1" si="4"/>
        <v/>
      </c>
      <c r="F30" s="66" t="str">
        <f t="shared" ca="1" si="4"/>
        <v/>
      </c>
      <c r="G30" s="66" t="str">
        <f t="shared" ca="1" si="4"/>
        <v/>
      </c>
      <c r="H30" s="66" t="str">
        <f t="shared" ca="1" si="4"/>
        <v/>
      </c>
      <c r="I30" s="66" t="str">
        <f t="shared" ca="1" si="4"/>
        <v/>
      </c>
      <c r="J30" s="66" t="str">
        <f t="shared" ca="1" si="4"/>
        <v/>
      </c>
      <c r="K30" s="66" t="str">
        <f t="shared" ca="1" si="4"/>
        <v/>
      </c>
      <c r="L30" s="66" t="str">
        <f t="shared" ca="1" si="4"/>
        <v/>
      </c>
      <c r="M30" s="66" t="str">
        <f t="shared" ca="1" si="4"/>
        <v/>
      </c>
      <c r="N30" s="66" t="str">
        <f t="shared" ca="1" si="4"/>
        <v/>
      </c>
      <c r="O30" s="66" t="str">
        <f t="shared" ca="1" si="4"/>
        <v/>
      </c>
      <c r="P30" s="66" t="str">
        <f t="shared" ca="1" si="4"/>
        <v/>
      </c>
      <c r="Q30" s="118"/>
      <c r="R30" s="336">
        <f t="shared" ca="1" si="3"/>
        <v>0</v>
      </c>
      <c r="S30" s="118"/>
      <c r="T30" s="356" t="str">
        <f ca="1">IF(Jahr.ein_aus.Total+Jahr.ein_aus_Pikett.Total+Jahr.WB.Total=0,"",R30/(Jahr.ein_aus.Total+Jahr.ein_aus_Pikett.Total+Jahr.WB.Total))</f>
        <v/>
      </c>
      <c r="U30" s="118"/>
    </row>
    <row r="31" spans="1:21" s="38" customFormat="1" ht="15" customHeight="1" x14ac:dyDescent="0.2">
      <c r="A31" s="329" t="str">
        <f ca="1">INDEX(T.ProjektartName.Bereich,7)</f>
        <v>Entlastungszeit / Relief Time</v>
      </c>
      <c r="B31" s="66" t="str">
        <f t="shared" ca="1" si="4"/>
        <v/>
      </c>
      <c r="C31" s="66" t="str">
        <f t="shared" ca="1" si="4"/>
        <v/>
      </c>
      <c r="D31" s="66" t="str">
        <f t="shared" ca="1" si="4"/>
        <v/>
      </c>
      <c r="E31" s="66" t="str">
        <f t="shared" ca="1" si="4"/>
        <v/>
      </c>
      <c r="F31" s="66" t="str">
        <f t="shared" ca="1" si="4"/>
        <v/>
      </c>
      <c r="G31" s="66" t="str">
        <f t="shared" ca="1" si="4"/>
        <v/>
      </c>
      <c r="H31" s="66" t="str">
        <f t="shared" ca="1" si="4"/>
        <v/>
      </c>
      <c r="I31" s="66" t="str">
        <f t="shared" ca="1" si="4"/>
        <v/>
      </c>
      <c r="J31" s="66" t="str">
        <f t="shared" ca="1" si="4"/>
        <v/>
      </c>
      <c r="K31" s="66" t="str">
        <f t="shared" ca="1" si="4"/>
        <v/>
      </c>
      <c r="L31" s="66" t="str">
        <f t="shared" ca="1" si="4"/>
        <v/>
      </c>
      <c r="M31" s="66" t="str">
        <f t="shared" ca="1" si="4"/>
        <v/>
      </c>
      <c r="N31" s="66" t="str">
        <f t="shared" ca="1" si="4"/>
        <v/>
      </c>
      <c r="O31" s="66" t="str">
        <f t="shared" ca="1" si="4"/>
        <v/>
      </c>
      <c r="P31" s="66" t="str">
        <f t="shared" ca="1" si="4"/>
        <v/>
      </c>
      <c r="Q31" s="118"/>
      <c r="R31" s="336">
        <f t="shared" ref="R31" ca="1" si="5">SUM(B31:P31)</f>
        <v>0</v>
      </c>
      <c r="S31" s="118"/>
      <c r="T31" s="356" t="str">
        <f ca="1">IF(Jahr.ein_aus.Total+Jahr.ein_aus_Pikett.Total+Jahr.WB.Total=0,"",R31/(Jahr.ein_aus.Total+Jahr.ein_aus_Pikett.Total+Jahr.WB.Total))</f>
        <v/>
      </c>
      <c r="U31" s="118"/>
    </row>
    <row r="32" spans="1:21" s="38" customFormat="1" ht="15" customHeight="1" x14ac:dyDescent="0.2">
      <c r="A32" s="329" t="str">
        <f ca="1">INDEX(T.ProjektartName.Bereich,8)</f>
        <v>nicht definiert / non-defined</v>
      </c>
      <c r="B32" s="66" t="str">
        <f>IF(B$9="","",(SUM(B$11:B$22)-SUM(B$24:B$31)))</f>
        <v/>
      </c>
      <c r="C32" s="66" t="str">
        <f t="shared" ref="C32:P32" si="6">IF(C$9="","",(SUM(C$11:C$22)-SUM(C$24:C$31)))</f>
        <v/>
      </c>
      <c r="D32" s="66" t="str">
        <f t="shared" si="6"/>
        <v/>
      </c>
      <c r="E32" s="66" t="str">
        <f t="shared" si="6"/>
        <v/>
      </c>
      <c r="F32" s="66" t="str">
        <f t="shared" si="6"/>
        <v/>
      </c>
      <c r="G32" s="66" t="str">
        <f t="shared" si="6"/>
        <v/>
      </c>
      <c r="H32" s="66" t="str">
        <f t="shared" si="6"/>
        <v/>
      </c>
      <c r="I32" s="66" t="str">
        <f t="shared" si="6"/>
        <v/>
      </c>
      <c r="J32" s="66" t="str">
        <f t="shared" si="6"/>
        <v/>
      </c>
      <c r="K32" s="66" t="str">
        <f t="shared" si="6"/>
        <v/>
      </c>
      <c r="L32" s="66" t="str">
        <f t="shared" si="6"/>
        <v/>
      </c>
      <c r="M32" s="66" t="str">
        <f t="shared" si="6"/>
        <v/>
      </c>
      <c r="N32" s="66" t="str">
        <f t="shared" si="6"/>
        <v/>
      </c>
      <c r="O32" s="66" t="str">
        <f t="shared" si="6"/>
        <v/>
      </c>
      <c r="P32" s="66" t="str">
        <f t="shared" si="6"/>
        <v/>
      </c>
      <c r="Q32" s="118"/>
      <c r="R32" s="336">
        <f t="shared" si="3"/>
        <v>0</v>
      </c>
      <c r="S32" s="118"/>
      <c r="T32" s="356" t="str">
        <f ca="1">IF(Jahr.ein_aus.Total+Jahr.ein_aus_Pikett.Total+Jahr.WB.Total=0,"",R32/(Jahr.ein_aus.Total+Jahr.ein_aus_Pikett.Total+Jahr.WB.Total))</f>
        <v/>
      </c>
      <c r="U32" s="118"/>
    </row>
    <row r="33" spans="1:21" s="38" customFormat="1" ht="11.25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90"/>
      <c r="S33" s="118"/>
      <c r="T33" s="357"/>
      <c r="U33" s="118"/>
    </row>
    <row r="34" spans="1:21" s="38" customFormat="1" ht="15" customHeight="1" x14ac:dyDescent="0.2">
      <c r="A34" s="214" t="s">
        <v>52</v>
      </c>
      <c r="B34" s="66" t="str">
        <f t="shared" ref="B34:P34" si="7">IF(B$9="","",SUM(B11:B22))</f>
        <v/>
      </c>
      <c r="C34" s="66" t="str">
        <f t="shared" si="7"/>
        <v/>
      </c>
      <c r="D34" s="66" t="str">
        <f t="shared" si="7"/>
        <v/>
      </c>
      <c r="E34" s="66" t="str">
        <f t="shared" si="7"/>
        <v/>
      </c>
      <c r="F34" s="66" t="str">
        <f t="shared" si="7"/>
        <v/>
      </c>
      <c r="G34" s="66" t="str">
        <f t="shared" si="7"/>
        <v/>
      </c>
      <c r="H34" s="66" t="str">
        <f t="shared" si="7"/>
        <v/>
      </c>
      <c r="I34" s="66" t="str">
        <f t="shared" si="7"/>
        <v/>
      </c>
      <c r="J34" s="66" t="str">
        <f t="shared" si="7"/>
        <v/>
      </c>
      <c r="K34" s="66" t="str">
        <f t="shared" si="7"/>
        <v/>
      </c>
      <c r="L34" s="66" t="str">
        <f t="shared" si="7"/>
        <v/>
      </c>
      <c r="M34" s="66" t="str">
        <f t="shared" si="7"/>
        <v/>
      </c>
      <c r="N34" s="66" t="str">
        <f t="shared" si="7"/>
        <v/>
      </c>
      <c r="O34" s="66" t="str">
        <f t="shared" si="7"/>
        <v/>
      </c>
      <c r="P34" s="66" t="str">
        <f t="shared" si="7"/>
        <v/>
      </c>
      <c r="Q34" s="118"/>
      <c r="R34" s="336">
        <f>SUM(B34:P34)</f>
        <v>0</v>
      </c>
      <c r="S34" s="118"/>
      <c r="T34" s="356" t="str">
        <f ca="1">IF(Jahr.ein_aus.Total+Jahr.ein_aus_Pikett.Total+Jahr.WB.Total=0,"",R34/(Jahr.ein_aus.Total+Jahr.ein_aus_Pikett.Total+Jahr.WB.Total))</f>
        <v/>
      </c>
      <c r="U34" s="118"/>
    </row>
    <row r="35" spans="1:21" s="38" customFormat="1" ht="15" customHeight="1" outlineLevel="1" x14ac:dyDescent="0.2">
      <c r="A35" s="214" t="s">
        <v>233</v>
      </c>
      <c r="B35" s="83" t="str">
        <f t="shared" ref="B35:P35" ca="1" si="8">IF(OR(B$9="",Jahr.ein_aus.Total+Jahr.ein_aus_Pikett.Total+Jahr.WB.Total=0),"",B34/(Jahr.ein_aus.Total+Jahr.ein_aus_Pikett.Total+Jahr.WB.Total))</f>
        <v/>
      </c>
      <c r="C35" s="83" t="str">
        <f t="shared" ca="1" si="8"/>
        <v/>
      </c>
      <c r="D35" s="83" t="str">
        <f t="shared" ca="1" si="8"/>
        <v/>
      </c>
      <c r="E35" s="83" t="str">
        <f t="shared" ca="1" si="8"/>
        <v/>
      </c>
      <c r="F35" s="83" t="str">
        <f t="shared" ca="1" si="8"/>
        <v/>
      </c>
      <c r="G35" s="83" t="str">
        <f t="shared" ca="1" si="8"/>
        <v/>
      </c>
      <c r="H35" s="83" t="str">
        <f t="shared" ca="1" si="8"/>
        <v/>
      </c>
      <c r="I35" s="83" t="str">
        <f t="shared" ca="1" si="8"/>
        <v/>
      </c>
      <c r="J35" s="83" t="str">
        <f t="shared" ca="1" si="8"/>
        <v/>
      </c>
      <c r="K35" s="83" t="str">
        <f t="shared" ca="1" si="8"/>
        <v/>
      </c>
      <c r="L35" s="83" t="str">
        <f t="shared" ca="1" si="8"/>
        <v/>
      </c>
      <c r="M35" s="83" t="str">
        <f t="shared" ca="1" si="8"/>
        <v/>
      </c>
      <c r="N35" s="83" t="str">
        <f t="shared" ca="1" si="8"/>
        <v/>
      </c>
      <c r="O35" s="83" t="str">
        <f t="shared" ca="1" si="8"/>
        <v/>
      </c>
      <c r="P35" s="83" t="str">
        <f t="shared" ca="1" si="8"/>
        <v/>
      </c>
      <c r="Q35" s="357"/>
      <c r="R35" s="356" t="str">
        <f ca="1">IF(OR(R$9="",Jahr.ein_aus.Total+Jahr.ein_aus_Pikett.Total+Jahr.WB.Total=0),"",R34/(Jahr.ein_aus.Total+Jahr.ein_aus_Pikett.Total+Jahr.WB.Total))</f>
        <v/>
      </c>
      <c r="S35" s="118"/>
      <c r="T35" s="122"/>
      <c r="U35" s="118"/>
    </row>
    <row r="36" spans="1:21" ht="11.25" customHeight="1" x14ac:dyDescent="0.2">
      <c r="A36" s="358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18"/>
      <c r="Q36" s="118"/>
      <c r="R36" s="118"/>
      <c r="S36" s="118"/>
      <c r="T36" s="118"/>
      <c r="U36" s="118"/>
    </row>
    <row r="37" spans="1:21" ht="57" customHeight="1" x14ac:dyDescent="0.2">
      <c r="A37" s="301" t="s">
        <v>62</v>
      </c>
      <c r="B37" s="502"/>
      <c r="C37" s="502"/>
      <c r="D37" s="502"/>
      <c r="E37" s="502"/>
      <c r="F37" s="502"/>
      <c r="G37" s="502"/>
      <c r="H37" s="502"/>
      <c r="I37" s="122"/>
      <c r="J37" s="122"/>
      <c r="K37" s="501" t="s">
        <v>63</v>
      </c>
      <c r="L37" s="501"/>
      <c r="M37" s="501"/>
      <c r="N37" s="501"/>
      <c r="O37" s="502"/>
      <c r="P37" s="502"/>
      <c r="Q37" s="502"/>
      <c r="R37" s="502"/>
      <c r="S37" s="502"/>
      <c r="T37" s="502"/>
      <c r="U37" s="118"/>
    </row>
    <row r="38" spans="1:21" ht="11.25" customHeight="1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18"/>
      <c r="Q38" s="118"/>
      <c r="R38" s="118"/>
      <c r="S38" s="118"/>
      <c r="T38" s="118"/>
      <c r="U38" s="118"/>
    </row>
    <row r="39" spans="1:21" ht="11.25" customHeight="1" x14ac:dyDescent="0.2">
      <c r="A39" s="359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</sheetData>
  <sheetProtection sheet="1" objects="1" scenarios="1"/>
  <dataConsolidate/>
  <mergeCells count="18">
    <mergeCell ref="K37:N37"/>
    <mergeCell ref="O37:T37"/>
    <mergeCell ref="E7:K7"/>
    <mergeCell ref="B37:H37"/>
    <mergeCell ref="M2:N2"/>
    <mergeCell ref="B2:D2"/>
    <mergeCell ref="B3:D3"/>
    <mergeCell ref="B4:D4"/>
    <mergeCell ref="B5:D5"/>
    <mergeCell ref="B6:D6"/>
    <mergeCell ref="B7:D7"/>
    <mergeCell ref="E2:K2"/>
    <mergeCell ref="E3:K3"/>
    <mergeCell ref="E4:K4"/>
    <mergeCell ref="E5:K5"/>
    <mergeCell ref="E6:K6"/>
    <mergeCell ref="E1:K1"/>
    <mergeCell ref="O2:P2"/>
  </mergeCells>
  <phoneticPr fontId="5" type="noConversion"/>
  <conditionalFormatting sqref="B9:P22 B24:P28 B34:P35 B30:P32">
    <cfRule type="expression" dxfId="9" priority="19">
      <formula>B$9=""</formula>
    </cfRule>
  </conditionalFormatting>
  <conditionalFormatting sqref="A11:A22 A24:A28 A34:A35 A30:A32">
    <cfRule type="expression" dxfId="8" priority="17">
      <formula>B$9=""</formula>
    </cfRule>
  </conditionalFormatting>
  <conditionalFormatting sqref="C9:P9 C11:P22 C24:P28 C34:P35 C30:P32">
    <cfRule type="expression" dxfId="7" priority="18">
      <formula>AND(B$9&lt;&gt;"",C$9="")</formula>
    </cfRule>
  </conditionalFormatting>
  <conditionalFormatting sqref="R30 T30">
    <cfRule type="expression" dxfId="6" priority="13">
      <formula>IF(AND(Jahr.ein_aus.Total+Jahr.ein_aus_Pikett.Total+Jahr.WB.Total&lt;&gt;0,ISERROR(MATCH(6,EB.Projektart.Bereich,0))=FALSE),ABS(ROUND($R30,9)-(Jahr.ein_aus.Total+Jahr.ein_aus_Pikett.Total+Jahr.WB.Total))&gt;=1/24/60)</formula>
    </cfRule>
  </conditionalFormatting>
  <pageMargins left="0.19685039370078741" right="0.19685039370078741" top="0.39370078740157483" bottom="0.39370078740157483" header="0.31496062992125984" footer="0.19685039370078741"/>
  <pageSetup paperSize="9" scale="70" orientation="landscape" blackAndWhite="1" horizontalDpi="4294967292" verticalDpi="4294967292" r:id="rId1"/>
  <headerFooter alignWithMargins="0">
    <oddFooter>&amp;L&amp;"Arial,Standard"&amp;11&amp;A&amp;C&amp;"Arial,Standard"&amp;11&amp;D&amp;R&amp;"Arial,Standard"&amp;11&amp;P /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autoPageBreaks="0" fitToPage="1"/>
  </sheetPr>
  <dimension ref="A1:AR60"/>
  <sheetViews>
    <sheetView showGridLines="0" zoomScale="85" zoomScaleNormal="85" zoomScalePageLayoutView="85" workbookViewId="0">
      <selection activeCell="E1" sqref="E1:K1"/>
    </sheetView>
  </sheetViews>
  <sheetFormatPr baseColWidth="10" defaultColWidth="10.75" defaultRowHeight="14.25" outlineLevelCol="1" x14ac:dyDescent="0.2"/>
  <cols>
    <col min="1" max="1" width="28.75" style="3" customWidth="1"/>
    <col min="2" max="2" width="13.875" style="3" customWidth="1"/>
    <col min="3" max="3" width="7.125" style="3" customWidth="1"/>
    <col min="4" max="4" width="13.875" style="3" customWidth="1"/>
    <col min="5" max="5" width="7.125" style="3" customWidth="1"/>
    <col min="6" max="6" width="13.875" style="3" customWidth="1"/>
    <col min="7" max="7" width="7.125" style="3" customWidth="1"/>
    <col min="8" max="8" width="13.875" style="3" customWidth="1"/>
    <col min="9" max="9" width="7.125" style="3" customWidth="1"/>
    <col min="10" max="10" width="13.875" style="3" customWidth="1"/>
    <col min="11" max="11" width="7.125" style="3" customWidth="1"/>
    <col min="12" max="12" width="13.875" style="3" customWidth="1"/>
    <col min="13" max="13" width="7.125" style="3" customWidth="1"/>
    <col min="14" max="14" width="13.875" style="3" customWidth="1"/>
    <col min="15" max="15" width="7.125" style="3" hidden="1" customWidth="1" outlineLevel="1"/>
    <col min="16" max="16" width="13.875" style="3" hidden="1" customWidth="1" outlineLevel="1"/>
    <col min="17" max="17" width="7.125" style="3" hidden="1" customWidth="1" outlineLevel="1"/>
    <col min="18" max="18" width="13.875" style="3" hidden="1" customWidth="1" outlineLevel="1"/>
    <col min="19" max="19" width="7.125" style="3" hidden="1" customWidth="1" outlineLevel="1"/>
    <col min="20" max="20" width="13.875" style="3" hidden="1" customWidth="1" outlineLevel="1"/>
    <col min="21" max="21" width="7.125" style="3" hidden="1" customWidth="1" outlineLevel="1"/>
    <col min="22" max="22" width="13.875" style="3" hidden="1" customWidth="1" outlineLevel="1"/>
    <col min="23" max="23" width="7.125" style="3" hidden="1" customWidth="1" outlineLevel="1"/>
    <col min="24" max="24" width="13.875" style="3" hidden="1" customWidth="1" outlineLevel="1"/>
    <col min="25" max="25" width="7.125" style="3" hidden="1" customWidth="1" outlineLevel="1"/>
    <col min="26" max="26" width="13.875" style="3" hidden="1" customWidth="1" outlineLevel="1"/>
    <col min="27" max="27" width="7.125" style="3" hidden="1" customWidth="1" outlineLevel="1"/>
    <col min="28" max="28" width="13.875" style="3" hidden="1" customWidth="1" outlineLevel="1"/>
    <col min="29" max="29" width="7.125" style="3" hidden="1" customWidth="1" outlineLevel="1"/>
    <col min="30" max="30" width="13.875" style="3" hidden="1" customWidth="1" outlineLevel="1"/>
    <col min="31" max="31" width="7.125" style="3" hidden="1" customWidth="1" outlineLevel="1"/>
    <col min="32" max="32" width="3.75" style="3" customWidth="1" collapsed="1"/>
    <col min="33" max="33" width="8" style="3" customWidth="1"/>
    <col min="34" max="34" width="3.75" style="3" customWidth="1"/>
    <col min="35" max="35" width="10.75" style="3" customWidth="1"/>
    <col min="36" max="16384" width="10.75" style="3"/>
  </cols>
  <sheetData>
    <row r="1" spans="1:44" s="62" customFormat="1" ht="23.25" customHeight="1" x14ac:dyDescent="0.2">
      <c r="A1" s="347" t="s">
        <v>160</v>
      </c>
      <c r="B1" s="348"/>
      <c r="C1" s="348">
        <f>EB.Jahr</f>
        <v>2022</v>
      </c>
      <c r="D1" s="349"/>
      <c r="E1" s="506" t="str">
        <f>Eingabeblatt!B1</f>
        <v>Arbeitszeittabelle</v>
      </c>
      <c r="F1" s="506"/>
      <c r="G1" s="506"/>
      <c r="H1" s="506"/>
      <c r="I1" s="506"/>
      <c r="J1" s="506"/>
      <c r="K1" s="506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06" t="str">
        <f>EB.Version</f>
        <v>Version 12.21</v>
      </c>
      <c r="AH1" s="307" t="str">
        <f>EB.Sprache</f>
        <v>DE</v>
      </c>
      <c r="AI1" s="4"/>
      <c r="AJ1" s="4"/>
    </row>
    <row r="2" spans="1:44" s="4" customFormat="1" ht="15" customHeight="1" x14ac:dyDescent="0.2">
      <c r="A2" s="361"/>
      <c r="B2" s="519" t="str">
        <f>Eingabeblatt!A3</f>
        <v>Name</v>
      </c>
      <c r="C2" s="520"/>
      <c r="D2" s="521"/>
      <c r="E2" s="523" t="str">
        <f>IF(EB.Name="","?",EB.Name)</f>
        <v>?</v>
      </c>
      <c r="F2" s="524"/>
      <c r="G2" s="524"/>
      <c r="H2" s="524"/>
      <c r="I2" s="524"/>
      <c r="J2" s="525"/>
      <c r="K2" s="362"/>
      <c r="L2" s="519" t="str">
        <f>Projektübersicht!M2</f>
        <v>ø BG in %</v>
      </c>
      <c r="M2" s="521"/>
      <c r="N2" s="90">
        <f ca="1">EB.BG_Total</f>
        <v>100</v>
      </c>
      <c r="O2" s="362"/>
      <c r="P2" s="362"/>
      <c r="Q2" s="362"/>
      <c r="R2" s="363"/>
      <c r="S2" s="363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4"/>
      <c r="AG2" s="362"/>
      <c r="AH2" s="362"/>
      <c r="AI2" s="1"/>
    </row>
    <row r="3" spans="1:44" s="4" customFormat="1" ht="15" customHeight="1" x14ac:dyDescent="0.2">
      <c r="A3" s="362"/>
      <c r="B3" s="519" t="str">
        <f>Eingabeblatt!H2</f>
        <v>Funktion</v>
      </c>
      <c r="C3" s="520"/>
      <c r="D3" s="521"/>
      <c r="E3" s="526" t="str">
        <f>EB.Funktion</f>
        <v>Funktionsbeschreibung</v>
      </c>
      <c r="F3" s="527"/>
      <c r="G3" s="527"/>
      <c r="H3" s="527"/>
      <c r="I3" s="527"/>
      <c r="J3" s="528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4"/>
      <c r="AG3" s="362"/>
      <c r="AH3" s="362"/>
    </row>
    <row r="4" spans="1:44" s="4" customFormat="1" ht="15" customHeight="1" x14ac:dyDescent="0.2">
      <c r="A4" s="362"/>
      <c r="B4" s="519" t="str">
        <f>Eingabeblatt!H3</f>
        <v>Institut/Abt.</v>
      </c>
      <c r="C4" s="520"/>
      <c r="D4" s="521"/>
      <c r="E4" s="529" t="str">
        <f>EB.Institut</f>
        <v>Angabe Institut/Abteilung</v>
      </c>
      <c r="F4" s="530"/>
      <c r="G4" s="530"/>
      <c r="H4" s="530"/>
      <c r="I4" s="530"/>
      <c r="J4" s="531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4"/>
      <c r="AG4" s="362"/>
      <c r="AH4" s="362"/>
    </row>
    <row r="5" spans="1:44" s="4" customFormat="1" ht="15" customHeight="1" x14ac:dyDescent="0.2">
      <c r="A5" s="362"/>
      <c r="B5" s="516" t="str">
        <f>Eingabeblatt!A5</f>
        <v>Personalnummer</v>
      </c>
      <c r="C5" s="517"/>
      <c r="D5" s="518"/>
      <c r="E5" s="532" t="str">
        <f>IF(EB.Personalnummer="","?",EB.Personalnummer)</f>
        <v>?</v>
      </c>
      <c r="F5" s="533"/>
      <c r="G5" s="533"/>
      <c r="H5" s="533"/>
      <c r="I5" s="533"/>
      <c r="J5" s="534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4"/>
      <c r="AG5" s="362"/>
      <c r="AH5" s="362"/>
    </row>
    <row r="6" spans="1:44" s="4" customFormat="1" ht="15" customHeight="1" x14ac:dyDescent="0.2">
      <c r="A6" s="362"/>
      <c r="B6" s="516" t="str">
        <f>Eingabeblatt!H4</f>
        <v>Fakultät</v>
      </c>
      <c r="C6" s="517"/>
      <c r="D6" s="518"/>
      <c r="E6" s="529" t="str">
        <f>EB.Fakultaet</f>
        <v>Auswahl Fakultät</v>
      </c>
      <c r="F6" s="530"/>
      <c r="G6" s="530"/>
      <c r="H6" s="530"/>
      <c r="I6" s="530"/>
      <c r="J6" s="531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4"/>
      <c r="AG6" s="362"/>
      <c r="AH6" s="362"/>
    </row>
    <row r="7" spans="1:44" s="4" customFormat="1" ht="15" customHeight="1" x14ac:dyDescent="0.2">
      <c r="A7" s="362"/>
      <c r="B7" s="516" t="str">
        <f>Eingabeblatt!H5</f>
        <v>Personalkategorie</v>
      </c>
      <c r="C7" s="517"/>
      <c r="D7" s="518"/>
      <c r="E7" s="529" t="str">
        <f>EB.Personalkategorie</f>
        <v>Auswahl Personalkategorie</v>
      </c>
      <c r="F7" s="530"/>
      <c r="G7" s="530"/>
      <c r="H7" s="530"/>
      <c r="I7" s="530"/>
      <c r="J7" s="531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4"/>
      <c r="AG7" s="362"/>
      <c r="AH7" s="362"/>
      <c r="AR7" s="5"/>
    </row>
    <row r="8" spans="1:44" s="10" customFormat="1" ht="11.25" customHeight="1" x14ac:dyDescent="0.2">
      <c r="A8" s="365"/>
      <c r="B8" s="365" t="str">
        <f ca="1">IFERROR(MATCH(3,OFFSET(EB.Projektart.Knoten,1,0,EB.AnzProjekte,1),0),"")</f>
        <v/>
      </c>
      <c r="C8" s="365"/>
      <c r="D8" s="365" t="str">
        <f ca="1">IF(B8="","",IFERROR(MATCH(3,OFFSET(EB.Projektart.Knoten,1+B8,0,(EB.AnzProjekte-B8),1),0)+B8,""))</f>
        <v/>
      </c>
      <c r="E8" s="365"/>
      <c r="F8" s="365" t="str">
        <f ca="1">IF(D8="","",IFERROR(MATCH(3,OFFSET(EB.Projektart.Knoten,1+D8,0,(EB.AnzProjekte-D8),1),0)+D8,""))</f>
        <v/>
      </c>
      <c r="G8" s="365"/>
      <c r="H8" s="365" t="str">
        <f ca="1">IF(F8="","",IFERROR(MATCH(3,OFFSET(EB.Projektart.Knoten,1+F8,0,(EB.AnzProjekte-F8),1),0)+F8,""))</f>
        <v/>
      </c>
      <c r="I8" s="365"/>
      <c r="J8" s="365" t="str">
        <f ca="1">IF(H8="","",IFERROR(MATCH(3,OFFSET(EB.Projektart.Knoten,1+H8,0,(EB.AnzProjekte-H8),1),0)+H8,""))</f>
        <v/>
      </c>
      <c r="K8" s="365"/>
      <c r="L8" s="365" t="str">
        <f ca="1">IF(J8="","",IFERROR(MATCH(3,OFFSET(EB.Projektart.Knoten,1+J8,0,(EB.AnzProjekte-J8),1),0)+J8,""))</f>
        <v/>
      </c>
      <c r="M8" s="365"/>
      <c r="N8" s="365" t="str">
        <f ca="1">IF(L8="","",IFERROR(MATCH(3,OFFSET(EB.Projektart.Knoten,1+L8,0,(EB.AnzProjekte-L8),1),0)+L8,""))</f>
        <v/>
      </c>
      <c r="O8" s="365"/>
      <c r="P8" s="365" t="str">
        <f ca="1">IF(N8="","",IFERROR(MATCH(3,OFFSET(EB.Projektart.Knoten,1+N8,0,(EB.AnzProjekte-N8),1),0)+N8,""))</f>
        <v/>
      </c>
      <c r="Q8" s="365"/>
      <c r="R8" s="365" t="str">
        <f ca="1">IF(P8="","",IFERROR(MATCH(3,OFFSET(EB.Projektart.Knoten,1+P8,0,(EB.AnzProjekte-P8),1),0)+P8,""))</f>
        <v/>
      </c>
      <c r="S8" s="365"/>
      <c r="T8" s="365" t="str">
        <f ca="1">IF(R8="","",IFERROR(MATCH(3,OFFSET(EB.Projektart.Knoten,1+R8,0,(EB.AnzProjekte-R8),1),0)+R8,""))</f>
        <v/>
      </c>
      <c r="U8" s="365"/>
      <c r="V8" s="365" t="str">
        <f ca="1">IF(T8="","",IFERROR(MATCH(3,OFFSET(EB.Projektart.Knoten,1+T8,0,(EB.AnzProjekte-T8),1),0)+T8,""))</f>
        <v/>
      </c>
      <c r="W8" s="365"/>
      <c r="X8" s="365" t="str">
        <f ca="1">IF(V8="","",IFERROR(MATCH(3,OFFSET(EB.Projektart.Knoten,1+V8,0,(EB.AnzProjekte-V8),1),0)+V8,""))</f>
        <v/>
      </c>
      <c r="Y8" s="365"/>
      <c r="Z8" s="365" t="str">
        <f ca="1">IF(X8="","",IFERROR(MATCH(3,OFFSET(EB.Projektart.Knoten,1+X8,0,(EB.AnzProjekte-X8),1),0)+X8,""))</f>
        <v/>
      </c>
      <c r="AA8" s="365"/>
      <c r="AB8" s="365" t="str">
        <f ca="1">IF(Z8="","",IFERROR(MATCH(3,OFFSET(EB.Projektart.Knoten,1+Z8,0,(EB.AnzProjekte-Z8),1),0)+Z8,""))</f>
        <v/>
      </c>
      <c r="AC8" s="365"/>
      <c r="AD8" s="365" t="str">
        <f ca="1">IF(AB8="","",IFERROR(MATCH(3,OFFSET(EB.Projektart.Knoten,1+AB8,0,(EB.AnzProjekte-AB8),1),0)+AB8,""))</f>
        <v/>
      </c>
      <c r="AE8" s="365"/>
      <c r="AF8" s="366"/>
      <c r="AG8" s="366"/>
      <c r="AH8" s="365"/>
    </row>
    <row r="9" spans="1:44" s="6" customFormat="1" ht="180.75" customHeight="1" x14ac:dyDescent="0.2">
      <c r="A9" s="367"/>
      <c r="B9" s="368" t="str">
        <f ca="1">IF(B8="","",INDEX(EB.Projekte.Bereich,B8))</f>
        <v/>
      </c>
      <c r="C9" s="369" t="s">
        <v>217</v>
      </c>
      <c r="D9" s="368" t="str">
        <f ca="1">IF(D8="","",INDEX(EB.Projekte.Bereich,D8))</f>
        <v/>
      </c>
      <c r="E9" s="369" t="str">
        <f>$C9</f>
        <v>+/- SOLL/IST monatlich</v>
      </c>
      <c r="F9" s="368" t="str">
        <f ca="1">IF(F8="","",INDEX(EB.Projekte.Bereich,F8))</f>
        <v/>
      </c>
      <c r="G9" s="369" t="str">
        <f>$C9</f>
        <v>+/- SOLL/IST monatlich</v>
      </c>
      <c r="H9" s="368" t="str">
        <f ca="1">IF(H8="","",INDEX(EB.Projekte.Bereich,H8))</f>
        <v/>
      </c>
      <c r="I9" s="369" t="str">
        <f>$C9</f>
        <v>+/- SOLL/IST monatlich</v>
      </c>
      <c r="J9" s="368" t="str">
        <f ca="1">IF(J8="","",INDEX(EB.Projekte.Bereich,J8))</f>
        <v/>
      </c>
      <c r="K9" s="369" t="str">
        <f>$C9</f>
        <v>+/- SOLL/IST monatlich</v>
      </c>
      <c r="L9" s="370" t="str">
        <f ca="1">IF(L8="","",INDEX(EB.Projekte.Bereich,L8))</f>
        <v/>
      </c>
      <c r="M9" s="369" t="str">
        <f>$C9</f>
        <v>+/- SOLL/IST monatlich</v>
      </c>
      <c r="N9" s="368" t="str">
        <f ca="1">IF(N8="","",INDEX(EB.Projekte.Bereich,N8))</f>
        <v/>
      </c>
      <c r="O9" s="369" t="str">
        <f>$C9</f>
        <v>+/- SOLL/IST monatlich</v>
      </c>
      <c r="P9" s="368" t="str">
        <f ca="1">IF(P8="","",INDEX(EB.Projekte.Bereich,P8))</f>
        <v/>
      </c>
      <c r="Q9" s="369" t="str">
        <f>$C9</f>
        <v>+/- SOLL/IST monatlich</v>
      </c>
      <c r="R9" s="368" t="str">
        <f ca="1">IF(R8="","",INDEX(EB.Projekte.Bereich,R8))</f>
        <v/>
      </c>
      <c r="S9" s="369" t="str">
        <f>$C9</f>
        <v>+/- SOLL/IST monatlich</v>
      </c>
      <c r="T9" s="368" t="str">
        <f ca="1">IF(T8="","",INDEX(EB.Projekte.Bereich,T8))</f>
        <v/>
      </c>
      <c r="U9" s="369" t="str">
        <f>$C9</f>
        <v>+/- SOLL/IST monatlich</v>
      </c>
      <c r="V9" s="368" t="str">
        <f ca="1">IF(V8="","",INDEX(EB.Projekte.Bereich,V8))</f>
        <v/>
      </c>
      <c r="W9" s="369" t="str">
        <f>$C9</f>
        <v>+/- SOLL/IST monatlich</v>
      </c>
      <c r="X9" s="368" t="str">
        <f ca="1">IF(X8="","",INDEX(EB.Projekte.Bereich,X8))</f>
        <v/>
      </c>
      <c r="Y9" s="369" t="str">
        <f>$C9</f>
        <v>+/- SOLL/IST monatlich</v>
      </c>
      <c r="Z9" s="368" t="str">
        <f ca="1">IF(Z8="","",INDEX(EB.Projekte.Bereich,Z8))</f>
        <v/>
      </c>
      <c r="AA9" s="369" t="str">
        <f>$C9</f>
        <v>+/- SOLL/IST monatlich</v>
      </c>
      <c r="AB9" s="368" t="str">
        <f ca="1">IF(AB8="","",INDEX(EB.Projekte.Bereich,AB8))</f>
        <v/>
      </c>
      <c r="AC9" s="369" t="str">
        <f>$C9</f>
        <v>+/- SOLL/IST monatlich</v>
      </c>
      <c r="AD9" s="368" t="str">
        <f ca="1">IF(AD8="","",INDEX(EB.Projekte.Bereich,AD8))</f>
        <v/>
      </c>
      <c r="AE9" s="369" t="str">
        <f>$C9</f>
        <v>+/- SOLL/IST monatlich</v>
      </c>
      <c r="AF9" s="371"/>
      <c r="AG9" s="372" t="str">
        <f>Projektübersicht!R9</f>
        <v>Monatl./Jährl. Projektauslastung</v>
      </c>
      <c r="AH9" s="362"/>
      <c r="AI9" s="4"/>
      <c r="AJ9" s="4"/>
      <c r="AK9" s="4"/>
      <c r="AL9" s="4"/>
      <c r="AM9" s="4"/>
      <c r="AN9" s="4"/>
      <c r="AO9" s="4"/>
      <c r="AP9" s="4"/>
    </row>
    <row r="10" spans="1:44" s="6" customFormat="1" ht="11.25" customHeight="1" x14ac:dyDescent="0.2">
      <c r="A10" s="367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64"/>
      <c r="AG10" s="374"/>
      <c r="AH10" s="362"/>
      <c r="AI10" s="4"/>
      <c r="AJ10" s="4"/>
      <c r="AK10" s="4"/>
    </row>
    <row r="11" spans="1:44" s="4" customFormat="1" ht="15" customHeight="1" x14ac:dyDescent="0.2">
      <c r="A11" s="375" t="str">
        <f>Eingabeblatt!J30</f>
        <v>PSP-Element-Nr.</v>
      </c>
      <c r="B11" s="63" t="str">
        <f ca="1">IF(B$9="","",IFERROR(INDEX(EB.Projekte.ganzerBereich,B$8,3),0))</f>
        <v/>
      </c>
      <c r="C11" s="376"/>
      <c r="D11" s="63" t="str">
        <f ca="1">IF(D$9="","",IFERROR(INDEX(EB.Projekte.ganzerBereich,D$8,3),0))</f>
        <v/>
      </c>
      <c r="E11" s="376"/>
      <c r="F11" s="63" t="str">
        <f ca="1">IF(F$9="","",IFERROR(INDEX(EB.Projekte.ganzerBereich,F$8,3),0))</f>
        <v/>
      </c>
      <c r="G11" s="376"/>
      <c r="H11" s="63" t="str">
        <f ca="1">IF(H$9="","",IFERROR(INDEX(EB.Projekte.ganzerBereich,H$8,3),0))</f>
        <v/>
      </c>
      <c r="I11" s="376"/>
      <c r="J11" s="63" t="str">
        <f ca="1">IF(J$9="","",IFERROR(INDEX(EB.Projekte.ganzerBereich,J$8,3),0))</f>
        <v/>
      </c>
      <c r="K11" s="376"/>
      <c r="L11" s="63" t="str">
        <f ca="1">IF(L$9="","",IFERROR(INDEX(EB.Projekte.ganzerBereich,L$8,3),0))</f>
        <v/>
      </c>
      <c r="M11" s="376"/>
      <c r="N11" s="63" t="str">
        <f ca="1">IF(N$9="","",IFERROR(INDEX(EB.Projekte.ganzerBereich,N$8,3),0))</f>
        <v/>
      </c>
      <c r="O11" s="376"/>
      <c r="P11" s="63" t="str">
        <f ca="1">IF(P$9="","",IFERROR(INDEX(EB.Projekte.ganzerBereich,P$8,3),0))</f>
        <v/>
      </c>
      <c r="Q11" s="376"/>
      <c r="R11" s="63" t="str">
        <f ca="1">IF(R$9="","",IFERROR(INDEX(EB.Projekte.ganzerBereich,R$8,3),0))</f>
        <v/>
      </c>
      <c r="S11" s="376"/>
      <c r="T11" s="63" t="str">
        <f ca="1">IF(T$9="","",IFERROR(INDEX(EB.Projekte.ganzerBereich,T$8,3),0))</f>
        <v/>
      </c>
      <c r="U11" s="376"/>
      <c r="V11" s="63" t="str">
        <f ca="1">IF(V$9="","",IFERROR(INDEX(EB.Projekte.ganzerBereich,V$8,3),0))</f>
        <v/>
      </c>
      <c r="W11" s="376"/>
      <c r="X11" s="63" t="str">
        <f ca="1">IF(X$9="","",IFERROR(INDEX(EB.Projekte.ganzerBereich,X$8,3),0))</f>
        <v/>
      </c>
      <c r="Y11" s="376"/>
      <c r="Z11" s="63" t="str">
        <f ca="1">IF(Z$9="","",IFERROR(INDEX(EB.Projekte.ganzerBereich,Z$8,3),0))</f>
        <v/>
      </c>
      <c r="AA11" s="376"/>
      <c r="AB11" s="63" t="str">
        <f ca="1">IF(AB$9="","",IFERROR(INDEX(EB.Projekte.ganzerBereich,AB$8,3),0))</f>
        <v/>
      </c>
      <c r="AC11" s="376"/>
      <c r="AD11" s="63" t="str">
        <f ca="1">IF(AD$9="","",IFERROR(INDEX(EB.Projekte.ganzerBereich,AD$8,3),0))</f>
        <v/>
      </c>
      <c r="AE11" s="376"/>
      <c r="AF11" s="364"/>
      <c r="AG11" s="374"/>
      <c r="AH11" s="362"/>
    </row>
    <row r="12" spans="1:44" s="4" customFormat="1" ht="15" customHeight="1" x14ac:dyDescent="0.2">
      <c r="A12" s="375" t="str">
        <f>Eingabeblatt!K30</f>
        <v>Vertragsnummer</v>
      </c>
      <c r="B12" s="63" t="str">
        <f ca="1">IF(B$9="","",IFERROR(INDEX(EB.Projekte.ganzerBereich,B$8,4),0))</f>
        <v/>
      </c>
      <c r="C12" s="376"/>
      <c r="D12" s="63" t="str">
        <f ca="1">IF(D$9="","",IFERROR(INDEX(EB.Projekte.ganzerBereich,D$8,4),0))</f>
        <v/>
      </c>
      <c r="E12" s="376"/>
      <c r="F12" s="63" t="str">
        <f ca="1">IF(F$9="","",IFERROR(INDEX(EB.Projekte.ganzerBereich,F$8,4),0))</f>
        <v/>
      </c>
      <c r="G12" s="376"/>
      <c r="H12" s="63" t="str">
        <f ca="1">IF(H$9="","",IFERROR(INDEX(EB.Projekte.ganzerBereich,H$8,4),0))</f>
        <v/>
      </c>
      <c r="I12" s="376"/>
      <c r="J12" s="63" t="str">
        <f ca="1">IF(J$9="","",IFERROR(INDEX(EB.Projekte.ganzerBereich,J$8,4),0))</f>
        <v/>
      </c>
      <c r="K12" s="376"/>
      <c r="L12" s="63" t="str">
        <f ca="1">IF(L$9="","",IFERROR(INDEX(EB.Projekte.ganzerBereich,L$8,4),0))</f>
        <v/>
      </c>
      <c r="M12" s="376"/>
      <c r="N12" s="63" t="str">
        <f ca="1">IF(N$9="","",IFERROR(INDEX(EB.Projekte.ganzerBereich,N$8,4),0))</f>
        <v/>
      </c>
      <c r="O12" s="376"/>
      <c r="P12" s="63" t="str">
        <f ca="1">IF(P$9="","",IFERROR(INDEX(EB.Projekte.ganzerBereich,P$8,4),0))</f>
        <v/>
      </c>
      <c r="Q12" s="376"/>
      <c r="R12" s="63" t="str">
        <f ca="1">IF(R$9="","",IFERROR(INDEX(EB.Projekte.ganzerBereich,R$8,4),0))</f>
        <v/>
      </c>
      <c r="S12" s="376"/>
      <c r="T12" s="63" t="str">
        <f ca="1">IF(T$9="","",IFERROR(INDEX(EB.Projekte.ganzerBereich,T$8,4),0))</f>
        <v/>
      </c>
      <c r="U12" s="376"/>
      <c r="V12" s="63" t="str">
        <f ca="1">IF(V$9="","",IFERROR(INDEX(EB.Projekte.ganzerBereich,V$8,4),0))</f>
        <v/>
      </c>
      <c r="W12" s="376"/>
      <c r="X12" s="63" t="str">
        <f ca="1">IF(X$9="","",IFERROR(INDEX(EB.Projekte.ganzerBereich,X$8,4),0))</f>
        <v/>
      </c>
      <c r="Y12" s="376"/>
      <c r="Z12" s="63" t="str">
        <f ca="1">IF(Z$9="","",IFERROR(INDEX(EB.Projekte.ganzerBereich,Z$8,4),0))</f>
        <v/>
      </c>
      <c r="AA12" s="376"/>
      <c r="AB12" s="63" t="str">
        <f ca="1">IF(AB$9="","",IFERROR(INDEX(EB.Projekte.ganzerBereich,AB$8,4),0))</f>
        <v/>
      </c>
      <c r="AC12" s="376"/>
      <c r="AD12" s="63" t="str">
        <f ca="1">IF(AD$9="","",IFERROR(INDEX(EB.Projekte.ganzerBereich,AD$8,4),0))</f>
        <v/>
      </c>
      <c r="AE12" s="376"/>
      <c r="AF12" s="364"/>
      <c r="AG12" s="374"/>
      <c r="AH12" s="362"/>
    </row>
    <row r="13" spans="1:44" s="4" customFormat="1" ht="15" customHeight="1" x14ac:dyDescent="0.2">
      <c r="A13" s="375" t="str">
        <f>Eingabeblatt!L30</f>
        <v>Projektverantw.</v>
      </c>
      <c r="B13" s="63" t="str">
        <f ca="1">IF(B$9="","",IFERROR(INDEX(EB.Projekte.ganzerBereich,B$8,5),0))</f>
        <v/>
      </c>
      <c r="C13" s="376"/>
      <c r="D13" s="63" t="str">
        <f ca="1">IF(D$9="","",IFERROR(INDEX(EB.Projekte.ganzerBereich,D$8,5),0))</f>
        <v/>
      </c>
      <c r="E13" s="376"/>
      <c r="F13" s="63" t="str">
        <f ca="1">IF(F$9="","",IFERROR(INDEX(EB.Projekte.ganzerBereich,F$8,5),0))</f>
        <v/>
      </c>
      <c r="G13" s="376"/>
      <c r="H13" s="63" t="str">
        <f ca="1">IF(H$9="","",IFERROR(INDEX(EB.Projekte.ganzerBereich,H$8,5),0))</f>
        <v/>
      </c>
      <c r="I13" s="376"/>
      <c r="J13" s="63" t="str">
        <f ca="1">IF(J$9="","",IFERROR(INDEX(EB.Projekte.ganzerBereich,J$8,5),0))</f>
        <v/>
      </c>
      <c r="K13" s="376"/>
      <c r="L13" s="63" t="str">
        <f ca="1">IF(L$9="","",IFERROR(INDEX(EB.Projekte.ganzerBereich,L$8,5),0))</f>
        <v/>
      </c>
      <c r="M13" s="376"/>
      <c r="N13" s="63" t="str">
        <f ca="1">IF(N$9="","",IFERROR(INDEX(EB.Projekte.ganzerBereich,N$8,5),0))</f>
        <v/>
      </c>
      <c r="O13" s="376"/>
      <c r="P13" s="63" t="str">
        <f ca="1">IF(P$9="","",IFERROR(INDEX(EB.Projekte.ganzerBereich,P$8,5),0))</f>
        <v/>
      </c>
      <c r="Q13" s="376"/>
      <c r="R13" s="63" t="str">
        <f ca="1">IF(R$9="","",IFERROR(INDEX(EB.Projekte.ganzerBereich,R$8,5),0))</f>
        <v/>
      </c>
      <c r="S13" s="376"/>
      <c r="T13" s="63" t="str">
        <f ca="1">IF(T$9="","",IFERROR(INDEX(EB.Projekte.ganzerBereich,T$8,5),0))</f>
        <v/>
      </c>
      <c r="U13" s="376"/>
      <c r="V13" s="63" t="str">
        <f ca="1">IF(V$9="","",IFERROR(INDEX(EB.Projekte.ganzerBereich,V$8,5),0))</f>
        <v/>
      </c>
      <c r="W13" s="376"/>
      <c r="X13" s="63" t="str">
        <f ca="1">IF(X$9="","",IFERROR(INDEX(EB.Projekte.ganzerBereich,X$8,5),0))</f>
        <v/>
      </c>
      <c r="Y13" s="376"/>
      <c r="Z13" s="63" t="str">
        <f ca="1">IF(Z$9="","",IFERROR(INDEX(EB.Projekte.ganzerBereich,Z$8,5),0))</f>
        <v/>
      </c>
      <c r="AA13" s="376"/>
      <c r="AB13" s="63" t="str">
        <f ca="1">IF(AB$9="","",IFERROR(INDEX(EB.Projekte.ganzerBereich,AB$8,5),0))</f>
        <v/>
      </c>
      <c r="AC13" s="376"/>
      <c r="AD13" s="63" t="str">
        <f ca="1">IF(AD$9="","",IFERROR(INDEX(EB.Projekte.ganzerBereich,AD$8,5),0))</f>
        <v/>
      </c>
      <c r="AE13" s="376"/>
      <c r="AF13" s="364"/>
      <c r="AG13" s="374"/>
      <c r="AH13" s="362"/>
    </row>
    <row r="14" spans="1:44" s="4" customFormat="1" ht="15" customHeight="1" x14ac:dyDescent="0.2">
      <c r="A14" s="375" t="str">
        <f>Eingabeblatt!M30</f>
        <v>%-Anstellung gem. Vertrag</v>
      </c>
      <c r="B14" s="94" t="str">
        <f ca="1">IF(B$9="","",IFERROR(INDEX(EB.Projekte.ganzerBereich,B$8,6),0))</f>
        <v/>
      </c>
      <c r="C14" s="376"/>
      <c r="D14" s="94" t="str">
        <f ca="1">IF(D$9="","",IFERROR(INDEX(EB.Projekte.ganzerBereich,D$8,6),0))</f>
        <v/>
      </c>
      <c r="E14" s="376"/>
      <c r="F14" s="94" t="str">
        <f ca="1">IF(F$9="","",IFERROR(INDEX(EB.Projekte.ganzerBereich,F$8,6),0))</f>
        <v/>
      </c>
      <c r="G14" s="376"/>
      <c r="H14" s="94" t="str">
        <f ca="1">IF(H$9="","",IFERROR(INDEX(EB.Projekte.ganzerBereich,H$8,6),0))</f>
        <v/>
      </c>
      <c r="I14" s="376"/>
      <c r="J14" s="94" t="str">
        <f ca="1">IF(J$9="","",IFERROR(INDEX(EB.Projekte.ganzerBereich,J$8,6),0))</f>
        <v/>
      </c>
      <c r="K14" s="376"/>
      <c r="L14" s="94" t="str">
        <f ca="1">IF(L$9="","",IFERROR(INDEX(EB.Projekte.ganzerBereich,L$8,6),0))</f>
        <v/>
      </c>
      <c r="M14" s="376"/>
      <c r="N14" s="94" t="str">
        <f ca="1">IF(N$9="","",IFERROR(INDEX(EB.Projekte.ganzerBereich,N$8,6),0))</f>
        <v/>
      </c>
      <c r="O14" s="376"/>
      <c r="P14" s="94" t="str">
        <f ca="1">IF(P$9="","",IFERROR(INDEX(EB.Projekte.ganzerBereich,P$8,6),0))</f>
        <v/>
      </c>
      <c r="Q14" s="376"/>
      <c r="R14" s="94" t="str">
        <f ca="1">IF(R$9="","",IFERROR(INDEX(EB.Projekte.ganzerBereich,R$8,6),0))</f>
        <v/>
      </c>
      <c r="S14" s="376"/>
      <c r="T14" s="94" t="str">
        <f ca="1">IF(T$9="","",IFERROR(INDEX(EB.Projekte.ganzerBereich,T$8,6),0))</f>
        <v/>
      </c>
      <c r="U14" s="376"/>
      <c r="V14" s="94" t="str">
        <f ca="1">IF(V$9="","",IFERROR(INDEX(EB.Projekte.ganzerBereich,V$8,6),0))</f>
        <v/>
      </c>
      <c r="W14" s="376"/>
      <c r="X14" s="94" t="str">
        <f ca="1">IF(X$9="","",IFERROR(INDEX(EB.Projekte.ganzerBereich,X$8,6),0))</f>
        <v/>
      </c>
      <c r="Y14" s="376"/>
      <c r="Z14" s="94" t="str">
        <f ca="1">IF(Z$9="","",IFERROR(INDEX(EB.Projekte.ganzerBereich,Z$8,6),0))</f>
        <v/>
      </c>
      <c r="AA14" s="376"/>
      <c r="AB14" s="94" t="str">
        <f ca="1">IF(AB$9="","",IFERROR(INDEX(EB.Projekte.ganzerBereich,AB$8,6),0))</f>
        <v/>
      </c>
      <c r="AC14" s="376"/>
      <c r="AD14" s="94" t="str">
        <f ca="1">IF(AD$9="","",IFERROR(INDEX(EB.Projekte.ganzerBereich,AD$8,6),0))</f>
        <v/>
      </c>
      <c r="AE14" s="376"/>
      <c r="AF14" s="364"/>
      <c r="AG14" s="374"/>
      <c r="AH14" s="362"/>
    </row>
    <row r="15" spans="1:44" s="4" customFormat="1" ht="15" customHeight="1" x14ac:dyDescent="0.2">
      <c r="A15" s="375" t="s">
        <v>87</v>
      </c>
      <c r="B15" s="8" t="str">
        <f ca="1">IF(ISERROR(B14/B31*B30),"-     ",B14/B31*B30)</f>
        <v xml:space="preserve">-     </v>
      </c>
      <c r="C15" s="376"/>
      <c r="D15" s="8" t="str">
        <f ca="1">IF(ISERROR(D14/D31*D30),"-     ",D14/D31*D30)</f>
        <v xml:space="preserve">-     </v>
      </c>
      <c r="E15" s="376"/>
      <c r="F15" s="8" t="str">
        <f ca="1">IF(ISERROR(F14/F31*F30),"-     ",F14/F31*F30)</f>
        <v xml:space="preserve">-     </v>
      </c>
      <c r="G15" s="376"/>
      <c r="H15" s="8" t="str">
        <f ca="1">IF(ISERROR(H14/H31*H30),"-     ",H14/H31*H30)</f>
        <v xml:space="preserve">-     </v>
      </c>
      <c r="I15" s="376"/>
      <c r="J15" s="8" t="str">
        <f ca="1">IF(ISERROR(J14/J31*J30),"-     ",J14/J31*J30)</f>
        <v xml:space="preserve">-     </v>
      </c>
      <c r="K15" s="376"/>
      <c r="L15" s="8" t="str">
        <f ca="1">IF(ISERROR(L14/L31*L30),"-     ",L14/L31*L30)</f>
        <v xml:space="preserve">-     </v>
      </c>
      <c r="M15" s="376"/>
      <c r="N15" s="8" t="str">
        <f ca="1">IF(ISERROR(N14/N31*N30),"-     ",N14/N31*N30)</f>
        <v xml:space="preserve">-     </v>
      </c>
      <c r="O15" s="376"/>
      <c r="P15" s="8" t="str">
        <f ca="1">IF(ISERROR(P14/P31*P30),"-     ",P14/P31*P30)</f>
        <v xml:space="preserve">-     </v>
      </c>
      <c r="Q15" s="376"/>
      <c r="R15" s="8" t="str">
        <f ca="1">IF(ISERROR(R14/R31*R30),"-     ",R14/R31*R30)</f>
        <v xml:space="preserve">-     </v>
      </c>
      <c r="S15" s="376"/>
      <c r="T15" s="8" t="str">
        <f ca="1">IF(ISERROR(T14/T31*T30),"-     ",T14/T31*T30)</f>
        <v xml:space="preserve">-     </v>
      </c>
      <c r="U15" s="376"/>
      <c r="V15" s="8" t="str">
        <f ca="1">IF(ISERROR(V14/V31*V30),"-     ",V14/V31*V30)</f>
        <v xml:space="preserve">-     </v>
      </c>
      <c r="W15" s="376"/>
      <c r="X15" s="8" t="str">
        <f ca="1">IF(ISERROR(X14/X31*X30),"-     ",X14/X31*X30)</f>
        <v xml:space="preserve">-     </v>
      </c>
      <c r="Y15" s="376"/>
      <c r="Z15" s="8" t="str">
        <f ca="1">IF(ISERROR(Z14/Z31*Z30),"-     ",Z14/Z31*Z30)</f>
        <v xml:space="preserve">-     </v>
      </c>
      <c r="AA15" s="376"/>
      <c r="AB15" s="8" t="str">
        <f ca="1">IF(ISERROR(AB14/AB31*AB30),"-     ",AB14/AB31*AB30)</f>
        <v xml:space="preserve">-     </v>
      </c>
      <c r="AC15" s="376"/>
      <c r="AD15" s="8" t="str">
        <f ca="1">IF(ISERROR(AD14/AD31*AD30),"-     ",AD14/AD31*AD30)</f>
        <v xml:space="preserve">-     </v>
      </c>
      <c r="AE15" s="364"/>
      <c r="AF15" s="364"/>
      <c r="AG15" s="377"/>
      <c r="AH15" s="362"/>
    </row>
    <row r="16" spans="1:44" s="4" customFormat="1" ht="11.25" customHeight="1" x14ac:dyDescent="0.2">
      <c r="A16" s="376"/>
      <c r="B16" s="376"/>
      <c r="C16" s="376"/>
      <c r="D16" s="364"/>
      <c r="E16" s="376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76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</row>
    <row r="17" spans="1:34" s="4" customFormat="1" ht="15" customHeight="1" x14ac:dyDescent="0.2">
      <c r="A17" s="378" t="str">
        <f>INDEX(EB.Monate.Bereich,1,0)</f>
        <v>Januar</v>
      </c>
      <c r="B17" s="64" t="str">
        <f ca="1">IF(B$8="","",IF(EB.Anwendung&lt;&gt;"",IF(INDEX(Januar!Monat.ProjekteTotal.Bereich,B$8)&lt;=0,0,INDEX(Januar!Monat.ProjekteTotal.Bereich,B$8)),""))</f>
        <v/>
      </c>
      <c r="C17" s="379" t="str">
        <f ca="1">IF(OR(B17="",Eingabeblatt!$H13=0),"",ROUND((B17-(T.ProdStunden.Bereich/100)*B$14/12)*1440,0)/1440)</f>
        <v/>
      </c>
      <c r="D17" s="64" t="str">
        <f ca="1">IF(D$8="","",IF(EB.Anwendung&lt;&gt;"",IF(INDEX(Januar!Monat.ProjekteTotal.Bereich,D$8)&lt;=0,0,INDEX(Januar!Monat.ProjekteTotal.Bereich,D$8)),""))</f>
        <v/>
      </c>
      <c r="E17" s="379" t="str">
        <f ca="1">IF(OR(D17="",Eingabeblatt!$H13=0),"",ROUND((D17-(T.ProdStunden.Bereich/100)*D$14/12)*1440,0)/1440)</f>
        <v/>
      </c>
      <c r="F17" s="64" t="str">
        <f ca="1">IF(F$8="","",IF(EB.Anwendung&lt;&gt;"",IF(INDEX(Januar!Monat.ProjekteTotal.Bereich,F$8)&lt;=0,0,INDEX(Januar!Monat.ProjekteTotal.Bereich,F$8)),""))</f>
        <v/>
      </c>
      <c r="G17" s="379" t="str">
        <f ca="1">IF(OR(F17="",Eingabeblatt!$H13=0),"",ROUND((F17-(T.ProdStunden.Bereich/100)*F$14/12)*1440,0)/1440)</f>
        <v/>
      </c>
      <c r="H17" s="64" t="str">
        <f ca="1">IF(H$8="","",IF(EB.Anwendung&lt;&gt;"",IF(INDEX(Januar!Monat.ProjekteTotal.Bereich,H$8)&lt;=0,0,INDEX(Januar!Monat.ProjekteTotal.Bereich,H$8)),""))</f>
        <v/>
      </c>
      <c r="I17" s="379" t="str">
        <f ca="1">IF(OR(H17="",Eingabeblatt!$H13=0),"",ROUND((H17-(T.ProdStunden.Bereich/100)*H$14/12)*1440,0)/1440)</f>
        <v/>
      </c>
      <c r="J17" s="64" t="str">
        <f ca="1">IF(J$8="","",IF(EB.Anwendung&lt;&gt;"",IF(INDEX(Januar!Monat.ProjekteTotal.Bereich,J$8)&lt;=0,0,INDEX(Januar!Monat.ProjekteTotal.Bereich,J$8)),""))</f>
        <v/>
      </c>
      <c r="K17" s="379" t="str">
        <f ca="1">IF(OR(J17="",Eingabeblatt!$H13=0),"",ROUND((J17-(T.ProdStunden.Bereich/100)*J$14/12)*1440,0)/1440)</f>
        <v/>
      </c>
      <c r="L17" s="64" t="str">
        <f ca="1">IF(L$8="","",IF(EB.Anwendung&lt;&gt;"",IF(INDEX(Januar!Monat.ProjekteTotal.Bereich,L$8)&lt;=0,0,INDEX(Januar!Monat.ProjekteTotal.Bereich,L$8)),""))</f>
        <v/>
      </c>
      <c r="M17" s="379" t="str">
        <f ca="1">IF(OR(L17="",Eingabeblatt!$H13=0),"",ROUND((L17-(T.ProdStunden.Bereich/100)*L$14/12)*1440,0)/1440)</f>
        <v/>
      </c>
      <c r="N17" s="64" t="str">
        <f ca="1">IF(N$8="","",IF(EB.Anwendung&lt;&gt;"",IF(INDEX(Januar!Monat.ProjekteTotal.Bereich,N$8)&lt;=0,0,INDEX(Januar!Monat.ProjekteTotal.Bereich,N$8)),""))</f>
        <v/>
      </c>
      <c r="O17" s="379" t="str">
        <f ca="1">IF(OR(N17="",Eingabeblatt!$H13=0),"",ROUND((N17-(T.ProdStunden.Bereich/100)*N$14/12)*1440,0)/1440)</f>
        <v/>
      </c>
      <c r="P17" s="64" t="str">
        <f ca="1">IF(P$8="","",IF(EB.Anwendung&lt;&gt;"",IF(INDEX(Januar!Monat.ProjekteTotal.Bereich,P$8)&lt;=0,0,INDEX(Januar!Monat.ProjekteTotal.Bereich,P$8)),""))</f>
        <v/>
      </c>
      <c r="Q17" s="379" t="str">
        <f ca="1">IF(OR(P17="",Eingabeblatt!$H13=0),"",ROUND((P17-(T.ProdStunden.Bereich/100)*P$14/12)*1440,0)/1440)</f>
        <v/>
      </c>
      <c r="R17" s="64" t="str">
        <f ca="1">IF(R$8="","",IF(EB.Anwendung&lt;&gt;"",IF(INDEX(Januar!Monat.ProjekteTotal.Bereich,R$8)&lt;=0,0,INDEX(Januar!Monat.ProjekteTotal.Bereich,R$8)),""))</f>
        <v/>
      </c>
      <c r="S17" s="379" t="str">
        <f ca="1">IF(OR(R17="",Eingabeblatt!$H13=0),"",ROUND((R17-(T.ProdStunden.Bereich/100)*R$14/12)*1440,0)/1440)</f>
        <v/>
      </c>
      <c r="T17" s="64" t="str">
        <f ca="1">IF(T$8="","",IF(EB.Anwendung&lt;&gt;"",IF(INDEX(Januar!Monat.ProjekteTotal.Bereich,T$8)&lt;=0,0,INDEX(Januar!Monat.ProjekteTotal.Bereich,T$8)),""))</f>
        <v/>
      </c>
      <c r="U17" s="379" t="str">
        <f ca="1">IF(OR(T17="",Eingabeblatt!$H13=0),"",ROUND((T17-(T.ProdStunden.Bereich/100)*T$14/12)*1440,0)/1440)</f>
        <v/>
      </c>
      <c r="V17" s="64" t="str">
        <f ca="1">IF(V$8="","",IF(EB.Anwendung&lt;&gt;"",IF(INDEX(Januar!Monat.ProjekteTotal.Bereich,V$8)&lt;=0,0,INDEX(Januar!Monat.ProjekteTotal.Bereich,V$8)),""))</f>
        <v/>
      </c>
      <c r="W17" s="379" t="str">
        <f ca="1">IF(OR(V17="",Eingabeblatt!$H13=0),"",ROUND((V17-(T.ProdStunden.Bereich/100)*V$14/12)*1440,0)/1440)</f>
        <v/>
      </c>
      <c r="X17" s="64" t="str">
        <f ca="1">IF(X$8="","",IF(EB.Anwendung&lt;&gt;"",IF(INDEX(Januar!Monat.ProjekteTotal.Bereich,X$8)&lt;=0,0,INDEX(Januar!Monat.ProjekteTotal.Bereich,X$8)),""))</f>
        <v/>
      </c>
      <c r="Y17" s="379" t="str">
        <f ca="1">IF(OR(X17="",Eingabeblatt!$H13=0),"",ROUND((X17-(T.ProdStunden.Bereich/100)*X$14/12)*1440,0)/1440)</f>
        <v/>
      </c>
      <c r="Z17" s="64" t="str">
        <f ca="1">IF(Z$8="","",IF(EB.Anwendung&lt;&gt;"",IF(INDEX(Januar!Monat.ProjekteTotal.Bereich,Z$8)&lt;=0,0,INDEX(Januar!Monat.ProjekteTotal.Bereich,Z$8)),""))</f>
        <v/>
      </c>
      <c r="AA17" s="379" t="str">
        <f ca="1">IF(OR(Z17="",Eingabeblatt!$H13=0),"",ROUND((Z17-(T.ProdStunden.Bereich/100)*Z$14/12)*1440,0)/1440)</f>
        <v/>
      </c>
      <c r="AB17" s="64" t="str">
        <f ca="1">IF(AB$8="","",IF(EB.Anwendung&lt;&gt;"",IF(INDEX(Januar!Monat.ProjekteTotal.Bereich,AB$8)&lt;=0,0,INDEX(Januar!Monat.ProjekteTotal.Bereich,AB$8)),""))</f>
        <v/>
      </c>
      <c r="AC17" s="379" t="str">
        <f ca="1">IF(OR(AB17="",Eingabeblatt!$H13=0),"",ROUND((AB17-(T.ProdStunden.Bereich/100)*AB$14/12)*1440,0)/1440)</f>
        <v/>
      </c>
      <c r="AD17" s="64" t="str">
        <f ca="1">IF(AD$8="","",IF(EB.Anwendung&lt;&gt;"",IF(INDEX(Januar!Monat.ProjekteTotal.Bereich,AD$8)&lt;=0,0,INDEX(Januar!Monat.ProjekteTotal.Bereich,AD$8)),""))</f>
        <v/>
      </c>
      <c r="AE17" s="379" t="str">
        <f ca="1">IF(OR(AD17="",Eingabeblatt!$H13=0),"",ROUND((AD17-(T.ProdStunden.Bereich/100)*AD$14/12)*1440,0)/1440)</f>
        <v/>
      </c>
      <c r="AF17" s="364"/>
      <c r="AG17" s="380">
        <f t="shared" ref="AG17:AG28" ca="1" si="0">SUM(B17,D17,F17,H17,J17,L17,N17,P17,R17,T17,V17,X17,Z17,AB17,AD17)</f>
        <v>0</v>
      </c>
      <c r="AH17" s="362"/>
    </row>
    <row r="18" spans="1:34" s="4" customFormat="1" ht="15" customHeight="1" x14ac:dyDescent="0.2">
      <c r="A18" s="378" t="str">
        <f>INDEX(EB.Monate.Bereich,2,0)</f>
        <v>Februar</v>
      </c>
      <c r="B18" s="64" t="str">
        <f ca="1">IF(B$8="","",IF(EB.Anwendung&lt;&gt;"",IF(INDEX(Februar!Monat.ProjekteTotal.Bereich,B$8)&lt;=0,0,INDEX(Februar!Monat.ProjekteTotal.Bereich,B$8)),""))</f>
        <v/>
      </c>
      <c r="C18" s="379" t="str">
        <f ca="1">IF(OR(B18="",Eingabeblatt!$H14=0),"",ROUND((B18-(T.ProdStunden.Bereich/100)*B$14/12)*1440,0)/1440)</f>
        <v/>
      </c>
      <c r="D18" s="64" t="str">
        <f ca="1">IF(D$8="","",IF(EB.Anwendung&lt;&gt;"",IF(INDEX(Februar!Monat.ProjekteTotal.Bereich,D$8)&lt;=0,0,INDEX(Februar!Monat.ProjekteTotal.Bereich,D$8)),""))</f>
        <v/>
      </c>
      <c r="E18" s="379" t="str">
        <f ca="1">IF(OR(D18="",Eingabeblatt!$H14=0),"",ROUND((D18-(T.ProdStunden.Bereich/100)*D$14/12)*1440,0)/1440)</f>
        <v/>
      </c>
      <c r="F18" s="64" t="str">
        <f ca="1">IF(F$8="","",IF(EB.Anwendung&lt;&gt;"",IF(INDEX(Februar!Monat.ProjekteTotal.Bereich,F$8)&lt;=0,0,INDEX(Februar!Monat.ProjekteTotal.Bereich,F$8)),""))</f>
        <v/>
      </c>
      <c r="G18" s="379" t="str">
        <f ca="1">IF(OR(F18="",Eingabeblatt!$H14=0),"",ROUND((F18-(T.ProdStunden.Bereich/100)*F$14/12)*1440,0)/1440)</f>
        <v/>
      </c>
      <c r="H18" s="64" t="str">
        <f ca="1">IF(H$8="","",IF(EB.Anwendung&lt;&gt;"",IF(INDEX(Februar!Monat.ProjekteTotal.Bereich,H$8)&lt;=0,0,INDEX(Februar!Monat.ProjekteTotal.Bereich,H$8)),""))</f>
        <v/>
      </c>
      <c r="I18" s="379" t="str">
        <f ca="1">IF(OR(H18="",Eingabeblatt!$H14=0),"",ROUND((H18-(T.ProdStunden.Bereich/100)*H$14/12)*1440,0)/1440)</f>
        <v/>
      </c>
      <c r="J18" s="64" t="str">
        <f ca="1">IF(J$8="","",IF(EB.Anwendung&lt;&gt;"",IF(INDEX(Februar!Monat.ProjekteTotal.Bereich,J$8)&lt;=0,0,INDEX(Februar!Monat.ProjekteTotal.Bereich,J$8)),""))</f>
        <v/>
      </c>
      <c r="K18" s="379" t="str">
        <f ca="1">IF(OR(J18="",Eingabeblatt!$H14=0),"",ROUND((J18-(T.ProdStunden.Bereich/100)*J$14/12)*1440,0)/1440)</f>
        <v/>
      </c>
      <c r="L18" s="64" t="str">
        <f ca="1">IF(L$8="","",IF(EB.Anwendung&lt;&gt;"",IF(INDEX(Februar!Monat.ProjekteTotal.Bereich,L$8)&lt;=0,0,INDEX(Februar!Monat.ProjekteTotal.Bereich,L$8)),""))</f>
        <v/>
      </c>
      <c r="M18" s="379" t="str">
        <f ca="1">IF(OR(L18="",Eingabeblatt!$H14=0),"",ROUND((L18-(T.ProdStunden.Bereich/100)*L$14/12)*1440,0)/1440)</f>
        <v/>
      </c>
      <c r="N18" s="64" t="str">
        <f ca="1">IF(N$8="","",IF(EB.Anwendung&lt;&gt;"",IF(INDEX(Februar!Monat.ProjekteTotal.Bereich,N$8)&lt;=0,0,INDEX(Februar!Monat.ProjekteTotal.Bereich,N$8)),""))</f>
        <v/>
      </c>
      <c r="O18" s="379" t="str">
        <f ca="1">IF(OR(N18="",Eingabeblatt!$H14=0),"",ROUND((N18-(T.ProdStunden.Bereich/100)*N$14/12)*1440,0)/1440)</f>
        <v/>
      </c>
      <c r="P18" s="64" t="str">
        <f ca="1">IF(P$8="","",IF(EB.Anwendung&lt;&gt;"",IF(INDEX(Februar!Monat.ProjekteTotal.Bereich,P$8)&lt;=0,0,INDEX(Februar!Monat.ProjekteTotal.Bereich,P$8)),""))</f>
        <v/>
      </c>
      <c r="Q18" s="379" t="str">
        <f ca="1">IF(OR(P18="",Eingabeblatt!$H14=0),"",ROUND((P18-(T.ProdStunden.Bereich/100)*P$14/12)*1440,0)/1440)</f>
        <v/>
      </c>
      <c r="R18" s="64" t="str">
        <f ca="1">IF(R$8="","",IF(EB.Anwendung&lt;&gt;"",IF(INDEX(Februar!Monat.ProjekteTotal.Bereich,R$8)&lt;=0,0,INDEX(Februar!Monat.ProjekteTotal.Bereich,R$8)),""))</f>
        <v/>
      </c>
      <c r="S18" s="379" t="str">
        <f ca="1">IF(OR(R18="",Eingabeblatt!$H14=0),"",ROUND((R18-(T.ProdStunden.Bereich/100)*R$14/12)*1440,0)/1440)</f>
        <v/>
      </c>
      <c r="T18" s="64" t="str">
        <f ca="1">IF(T$8="","",IF(EB.Anwendung&lt;&gt;"",IF(INDEX(Februar!Monat.ProjekteTotal.Bereich,T$8)&lt;=0,0,INDEX(Februar!Monat.ProjekteTotal.Bereich,T$8)),""))</f>
        <v/>
      </c>
      <c r="U18" s="379" t="str">
        <f ca="1">IF(OR(T18="",Eingabeblatt!$H14=0),"",ROUND((T18-(T.ProdStunden.Bereich/100)*T$14/12)*1440,0)/1440)</f>
        <v/>
      </c>
      <c r="V18" s="64" t="str">
        <f ca="1">IF(V$8="","",IF(EB.Anwendung&lt;&gt;"",IF(INDEX(Februar!Monat.ProjekteTotal.Bereich,V$8)&lt;=0,0,INDEX(Februar!Monat.ProjekteTotal.Bereich,V$8)),""))</f>
        <v/>
      </c>
      <c r="W18" s="379" t="str">
        <f ca="1">IF(OR(V18="",Eingabeblatt!$H14=0),"",ROUND((V18-(T.ProdStunden.Bereich/100)*V$14/12)*1440,0)/1440)</f>
        <v/>
      </c>
      <c r="X18" s="64" t="str">
        <f ca="1">IF(X$8="","",IF(EB.Anwendung&lt;&gt;"",IF(INDEX(Februar!Monat.ProjekteTotal.Bereich,X$8)&lt;=0,0,INDEX(Februar!Monat.ProjekteTotal.Bereich,X$8)),""))</f>
        <v/>
      </c>
      <c r="Y18" s="379" t="str">
        <f ca="1">IF(OR(X18="",Eingabeblatt!$H14=0),"",ROUND((X18-(T.ProdStunden.Bereich/100)*X$14/12)*1440,0)/1440)</f>
        <v/>
      </c>
      <c r="Z18" s="64" t="str">
        <f ca="1">IF(Z$8="","",IF(EB.Anwendung&lt;&gt;"",IF(INDEX(Februar!Monat.ProjekteTotal.Bereich,Z$8)&lt;=0,0,INDEX(Februar!Monat.ProjekteTotal.Bereich,Z$8)),""))</f>
        <v/>
      </c>
      <c r="AA18" s="379" t="str">
        <f ca="1">IF(OR(Z18="",Eingabeblatt!$H14=0),"",ROUND((Z18-(T.ProdStunden.Bereich/100)*Z$14/12)*1440,0)/1440)</f>
        <v/>
      </c>
      <c r="AB18" s="64" t="str">
        <f ca="1">IF(AB$8="","",IF(EB.Anwendung&lt;&gt;"",IF(INDEX(Februar!Monat.ProjekteTotal.Bereich,AB$8)&lt;=0,0,INDEX(Februar!Monat.ProjekteTotal.Bereich,AB$8)),""))</f>
        <v/>
      </c>
      <c r="AC18" s="379" t="str">
        <f ca="1">IF(OR(AB18="",Eingabeblatt!$H14=0),"",ROUND((AB18-(T.ProdStunden.Bereich/100)*AB$14/12)*1440,0)/1440)</f>
        <v/>
      </c>
      <c r="AD18" s="64" t="str">
        <f ca="1">IF(AD$8="","",IF(EB.Anwendung&lt;&gt;"",IF(INDEX(Februar!Monat.ProjekteTotal.Bereich,AD$8)&lt;=0,0,INDEX(Februar!Monat.ProjekteTotal.Bereich,AD$8)),""))</f>
        <v/>
      </c>
      <c r="AE18" s="379" t="str">
        <f ca="1">IF(OR(AD18="",Eingabeblatt!$H14=0),"",ROUND((AD18-(T.ProdStunden.Bereich/100)*AD$14/12)*1440,0)/1440)</f>
        <v/>
      </c>
      <c r="AF18" s="364"/>
      <c r="AG18" s="380">
        <f t="shared" ca="1" si="0"/>
        <v>0</v>
      </c>
      <c r="AH18" s="362"/>
    </row>
    <row r="19" spans="1:34" s="4" customFormat="1" ht="15" customHeight="1" x14ac:dyDescent="0.2">
      <c r="A19" s="378" t="str">
        <f>INDEX(EB.Monate.Bereich,3,0)</f>
        <v>März</v>
      </c>
      <c r="B19" s="64" t="str">
        <f ca="1">IF(B$8="","",IF(EB.Anwendung&lt;&gt;"",IF(INDEX(März!Monat.ProjekteTotal.Bereich,B$8)&lt;=0,0,INDEX(März!Monat.ProjekteTotal.Bereich,B$8)),""))</f>
        <v/>
      </c>
      <c r="C19" s="379" t="str">
        <f ca="1">IF(OR(B19="",Eingabeblatt!$H15=0),"",ROUND((B19-(T.ProdStunden.Bereich/100)*B$14/12)*1440,0)/1440)</f>
        <v/>
      </c>
      <c r="D19" s="64" t="str">
        <f ca="1">IF(D$8="","",IF(EB.Anwendung&lt;&gt;"",IF(INDEX(März!Monat.ProjekteTotal.Bereich,D$8)&lt;=0,0,INDEX(März!Monat.ProjekteTotal.Bereich,D$8)),""))</f>
        <v/>
      </c>
      <c r="E19" s="379" t="str">
        <f ca="1">IF(OR(D19="",Eingabeblatt!$H15=0),"",ROUND((D19-(T.ProdStunden.Bereich/100)*D$14/12)*1440,0)/1440)</f>
        <v/>
      </c>
      <c r="F19" s="64" t="str">
        <f ca="1">IF(F$8="","",IF(EB.Anwendung&lt;&gt;"",IF(INDEX(März!Monat.ProjekteTotal.Bereich,F$8)&lt;=0,0,INDEX(März!Monat.ProjekteTotal.Bereich,F$8)),""))</f>
        <v/>
      </c>
      <c r="G19" s="379" t="str">
        <f ca="1">IF(OR(F19="",Eingabeblatt!$H15=0),"",ROUND((F19-(T.ProdStunden.Bereich/100)*F$14/12)*1440,0)/1440)</f>
        <v/>
      </c>
      <c r="H19" s="64" t="str">
        <f ca="1">IF(H$8="","",IF(EB.Anwendung&lt;&gt;"",IF(INDEX(März!Monat.ProjekteTotal.Bereich,H$8)&lt;=0,0,INDEX(März!Monat.ProjekteTotal.Bereich,H$8)),""))</f>
        <v/>
      </c>
      <c r="I19" s="379" t="str">
        <f ca="1">IF(OR(H19="",Eingabeblatt!$H15=0),"",ROUND((H19-(T.ProdStunden.Bereich/100)*H$14/12)*1440,0)/1440)</f>
        <v/>
      </c>
      <c r="J19" s="64" t="str">
        <f ca="1">IF(J$8="","",IF(EB.Anwendung&lt;&gt;"",IF(INDEX(März!Monat.ProjekteTotal.Bereich,J$8)&lt;=0,0,INDEX(März!Monat.ProjekteTotal.Bereich,J$8)),""))</f>
        <v/>
      </c>
      <c r="K19" s="379" t="str">
        <f ca="1">IF(OR(J19="",Eingabeblatt!$H15=0),"",ROUND((J19-(T.ProdStunden.Bereich/100)*J$14/12)*1440,0)/1440)</f>
        <v/>
      </c>
      <c r="L19" s="64" t="str">
        <f ca="1">IF(L$8="","",IF(EB.Anwendung&lt;&gt;"",IF(INDEX(März!Monat.ProjekteTotal.Bereich,L$8)&lt;=0,0,INDEX(März!Monat.ProjekteTotal.Bereich,L$8)),""))</f>
        <v/>
      </c>
      <c r="M19" s="379" t="str">
        <f ca="1">IF(OR(L19="",Eingabeblatt!$H15=0),"",ROUND((L19-(T.ProdStunden.Bereich/100)*L$14/12)*1440,0)/1440)</f>
        <v/>
      </c>
      <c r="N19" s="64" t="str">
        <f ca="1">IF(N$8="","",IF(EB.Anwendung&lt;&gt;"",IF(INDEX(März!Monat.ProjekteTotal.Bereich,N$8)&lt;=0,0,INDEX(März!Monat.ProjekteTotal.Bereich,N$8)),""))</f>
        <v/>
      </c>
      <c r="O19" s="379" t="str">
        <f ca="1">IF(OR(N19="",Eingabeblatt!$H15=0),"",ROUND((N19-(T.ProdStunden.Bereich/100)*N$14/12)*1440,0)/1440)</f>
        <v/>
      </c>
      <c r="P19" s="64" t="str">
        <f ca="1">IF(P$8="","",IF(EB.Anwendung&lt;&gt;"",IF(INDEX(März!Monat.ProjekteTotal.Bereich,P$8)&lt;=0,0,INDEX(März!Monat.ProjekteTotal.Bereich,P$8)),""))</f>
        <v/>
      </c>
      <c r="Q19" s="379" t="str">
        <f ca="1">IF(OR(P19="",Eingabeblatt!$H15=0),"",ROUND((P19-(T.ProdStunden.Bereich/100)*P$14/12)*1440,0)/1440)</f>
        <v/>
      </c>
      <c r="R19" s="64" t="str">
        <f ca="1">IF(R$8="","",IF(EB.Anwendung&lt;&gt;"",IF(INDEX(März!Monat.ProjekteTotal.Bereich,R$8)&lt;=0,0,INDEX(März!Monat.ProjekteTotal.Bereich,R$8)),""))</f>
        <v/>
      </c>
      <c r="S19" s="379" t="str">
        <f ca="1">IF(OR(R19="",Eingabeblatt!$H15=0),"",ROUND((R19-(T.ProdStunden.Bereich/100)*R$14/12)*1440,0)/1440)</f>
        <v/>
      </c>
      <c r="T19" s="64" t="str">
        <f ca="1">IF(T$8="","",IF(EB.Anwendung&lt;&gt;"",IF(INDEX(März!Monat.ProjekteTotal.Bereich,T$8)&lt;=0,0,INDEX(März!Monat.ProjekteTotal.Bereich,T$8)),""))</f>
        <v/>
      </c>
      <c r="U19" s="379" t="str">
        <f ca="1">IF(OR(T19="",Eingabeblatt!$H15=0),"",ROUND((T19-(T.ProdStunden.Bereich/100)*T$14/12)*1440,0)/1440)</f>
        <v/>
      </c>
      <c r="V19" s="64" t="str">
        <f ca="1">IF(V$8="","",IF(EB.Anwendung&lt;&gt;"",IF(INDEX(März!Monat.ProjekteTotal.Bereich,V$8)&lt;=0,0,INDEX(März!Monat.ProjekteTotal.Bereich,V$8)),""))</f>
        <v/>
      </c>
      <c r="W19" s="379" t="str">
        <f ca="1">IF(OR(V19="",Eingabeblatt!$H15=0),"",ROUND((V19-(T.ProdStunden.Bereich/100)*V$14/12)*1440,0)/1440)</f>
        <v/>
      </c>
      <c r="X19" s="64" t="str">
        <f ca="1">IF(X$8="","",IF(EB.Anwendung&lt;&gt;"",IF(INDEX(März!Monat.ProjekteTotal.Bereich,X$8)&lt;=0,0,INDEX(März!Monat.ProjekteTotal.Bereich,X$8)),""))</f>
        <v/>
      </c>
      <c r="Y19" s="379" t="str">
        <f ca="1">IF(OR(X19="",Eingabeblatt!$H15=0),"",ROUND((X19-(T.ProdStunden.Bereich/100)*X$14/12)*1440,0)/1440)</f>
        <v/>
      </c>
      <c r="Z19" s="64" t="str">
        <f ca="1">IF(Z$8="","",IF(EB.Anwendung&lt;&gt;"",IF(INDEX(März!Monat.ProjekteTotal.Bereich,Z$8)&lt;=0,0,INDEX(März!Monat.ProjekteTotal.Bereich,Z$8)),""))</f>
        <v/>
      </c>
      <c r="AA19" s="379" t="str">
        <f ca="1">IF(OR(Z19="",Eingabeblatt!$H15=0),"",ROUND((Z19-(T.ProdStunden.Bereich/100)*Z$14/12)*1440,0)/1440)</f>
        <v/>
      </c>
      <c r="AB19" s="64" t="str">
        <f ca="1">IF(AB$8="","",IF(EB.Anwendung&lt;&gt;"",IF(INDEX(März!Monat.ProjekteTotal.Bereich,AB$8)&lt;=0,0,INDEX(März!Monat.ProjekteTotal.Bereich,AB$8)),""))</f>
        <v/>
      </c>
      <c r="AC19" s="379" t="str">
        <f ca="1">IF(OR(AB19="",Eingabeblatt!$H15=0),"",ROUND((AB19-(T.ProdStunden.Bereich/100)*AB$14/12)*1440,0)/1440)</f>
        <v/>
      </c>
      <c r="AD19" s="64" t="str">
        <f ca="1">IF(AD$8="","",IF(EB.Anwendung&lt;&gt;"",IF(INDEX(März!Monat.ProjekteTotal.Bereich,AD$8)&lt;=0,0,INDEX(März!Monat.ProjekteTotal.Bereich,AD$8)),""))</f>
        <v/>
      </c>
      <c r="AE19" s="379" t="str">
        <f ca="1">IF(OR(AD19="",Eingabeblatt!$H15=0),"",ROUND((AD19-(T.ProdStunden.Bereich/100)*AD$14/12)*1440,0)/1440)</f>
        <v/>
      </c>
      <c r="AF19" s="364"/>
      <c r="AG19" s="380">
        <f t="shared" ca="1" si="0"/>
        <v>0</v>
      </c>
      <c r="AH19" s="362"/>
    </row>
    <row r="20" spans="1:34" s="4" customFormat="1" ht="15" customHeight="1" x14ac:dyDescent="0.2">
      <c r="A20" s="378" t="str">
        <f>INDEX(EB.Monate.Bereich,4,0)</f>
        <v>April</v>
      </c>
      <c r="B20" s="64" t="str">
        <f ca="1">IF(B$8="","",IF(EB.Anwendung&lt;&gt;"",IF(INDEX(April!Monat.ProjekteTotal.Bereich,B$8)&lt;=0,0,INDEX(April!Monat.ProjekteTotal.Bereich,B$8)),""))</f>
        <v/>
      </c>
      <c r="C20" s="379" t="str">
        <f ca="1">IF(OR(B20="",Eingabeblatt!$H16=0),"",ROUND((B20-(T.ProdStunden.Bereich/100)*B$14/12)*1440,0)/1440)</f>
        <v/>
      </c>
      <c r="D20" s="64" t="str">
        <f ca="1">IF(D$8="","",IF(EB.Anwendung&lt;&gt;"",IF(INDEX(April!Monat.ProjekteTotal.Bereich,D$8)&lt;=0,0,INDEX(April!Monat.ProjekteTotal.Bereich,D$8)),""))</f>
        <v/>
      </c>
      <c r="E20" s="379" t="str">
        <f ca="1">IF(OR(D20="",Eingabeblatt!$H16=0),"",ROUND((D20-(T.ProdStunden.Bereich/100)*D$14/12)*1440,0)/1440)</f>
        <v/>
      </c>
      <c r="F20" s="64" t="str">
        <f ca="1">IF(F$8="","",IF(EB.Anwendung&lt;&gt;"",IF(INDEX(April!Monat.ProjekteTotal.Bereich,F$8)&lt;=0,0,INDEX(April!Monat.ProjekteTotal.Bereich,F$8)),""))</f>
        <v/>
      </c>
      <c r="G20" s="379" t="str">
        <f ca="1">IF(OR(F20="",Eingabeblatt!$H16=0),"",ROUND((F20-(T.ProdStunden.Bereich/100)*F$14/12)*1440,0)/1440)</f>
        <v/>
      </c>
      <c r="H20" s="64" t="str">
        <f ca="1">IF(H$8="","",IF(EB.Anwendung&lt;&gt;"",IF(INDEX(April!Monat.ProjekteTotal.Bereich,H$8)&lt;=0,0,INDEX(April!Monat.ProjekteTotal.Bereich,H$8)),""))</f>
        <v/>
      </c>
      <c r="I20" s="379" t="str">
        <f ca="1">IF(OR(H20="",Eingabeblatt!$H16=0),"",ROUND((H20-(T.ProdStunden.Bereich/100)*H$14/12)*1440,0)/1440)</f>
        <v/>
      </c>
      <c r="J20" s="64" t="str">
        <f ca="1">IF(J$8="","",IF(EB.Anwendung&lt;&gt;"",IF(INDEX(April!Monat.ProjekteTotal.Bereich,J$8)&lt;=0,0,INDEX(April!Monat.ProjekteTotal.Bereich,J$8)),""))</f>
        <v/>
      </c>
      <c r="K20" s="379" t="str">
        <f ca="1">IF(OR(J20="",Eingabeblatt!$H16=0),"",ROUND((J20-(T.ProdStunden.Bereich/100)*J$14/12)*1440,0)/1440)</f>
        <v/>
      </c>
      <c r="L20" s="64" t="str">
        <f ca="1">IF(L$8="","",IF(EB.Anwendung&lt;&gt;"",IF(INDEX(April!Monat.ProjekteTotal.Bereich,L$8)&lt;=0,0,INDEX(April!Monat.ProjekteTotal.Bereich,L$8)),""))</f>
        <v/>
      </c>
      <c r="M20" s="379" t="str">
        <f ca="1">IF(OR(L20="",Eingabeblatt!$H16=0),"",ROUND((L20-(T.ProdStunden.Bereich/100)*L$14/12)*1440,0)/1440)</f>
        <v/>
      </c>
      <c r="N20" s="64" t="str">
        <f ca="1">IF(N$8="","",IF(EB.Anwendung&lt;&gt;"",IF(INDEX(April!Monat.ProjekteTotal.Bereich,N$8)&lt;=0,0,INDEX(April!Monat.ProjekteTotal.Bereich,N$8)),""))</f>
        <v/>
      </c>
      <c r="O20" s="379" t="str">
        <f ca="1">IF(OR(N20="",Eingabeblatt!$H16=0),"",ROUND((N20-(T.ProdStunden.Bereich/100)*N$14/12)*1440,0)/1440)</f>
        <v/>
      </c>
      <c r="P20" s="64" t="str">
        <f ca="1">IF(P$8="","",IF(EB.Anwendung&lt;&gt;"",IF(INDEX(April!Monat.ProjekteTotal.Bereich,P$8)&lt;=0,0,INDEX(April!Monat.ProjekteTotal.Bereich,P$8)),""))</f>
        <v/>
      </c>
      <c r="Q20" s="379" t="str">
        <f ca="1">IF(OR(P20="",Eingabeblatt!$H16=0),"",ROUND((P20-(T.ProdStunden.Bereich/100)*P$14/12)*1440,0)/1440)</f>
        <v/>
      </c>
      <c r="R20" s="64" t="str">
        <f ca="1">IF(R$8="","",IF(EB.Anwendung&lt;&gt;"",IF(INDEX(April!Monat.ProjekteTotal.Bereich,R$8)&lt;=0,0,INDEX(April!Monat.ProjekteTotal.Bereich,R$8)),""))</f>
        <v/>
      </c>
      <c r="S20" s="379" t="str">
        <f ca="1">IF(OR(R20="",Eingabeblatt!$H16=0),"",ROUND((R20-(T.ProdStunden.Bereich/100)*R$14/12)*1440,0)/1440)</f>
        <v/>
      </c>
      <c r="T20" s="64" t="str">
        <f ca="1">IF(T$8="","",IF(EB.Anwendung&lt;&gt;"",IF(INDEX(April!Monat.ProjekteTotal.Bereich,T$8)&lt;=0,0,INDEX(April!Monat.ProjekteTotal.Bereich,T$8)),""))</f>
        <v/>
      </c>
      <c r="U20" s="379" t="str">
        <f ca="1">IF(OR(T20="",Eingabeblatt!$H16=0),"",ROUND((T20-(T.ProdStunden.Bereich/100)*T$14/12)*1440,0)/1440)</f>
        <v/>
      </c>
      <c r="V20" s="64" t="str">
        <f ca="1">IF(V$8="","",IF(EB.Anwendung&lt;&gt;"",IF(INDEX(April!Monat.ProjekteTotal.Bereich,V$8)&lt;=0,0,INDEX(April!Monat.ProjekteTotal.Bereich,V$8)),""))</f>
        <v/>
      </c>
      <c r="W20" s="379" t="str">
        <f ca="1">IF(OR(V20="",Eingabeblatt!$H16=0),"",ROUND((V20-(T.ProdStunden.Bereich/100)*V$14/12)*1440,0)/1440)</f>
        <v/>
      </c>
      <c r="X20" s="64" t="str">
        <f ca="1">IF(X$8="","",IF(EB.Anwendung&lt;&gt;"",IF(INDEX(April!Monat.ProjekteTotal.Bereich,X$8)&lt;=0,0,INDEX(April!Monat.ProjekteTotal.Bereich,X$8)),""))</f>
        <v/>
      </c>
      <c r="Y20" s="379" t="str">
        <f ca="1">IF(OR(X20="",Eingabeblatt!$H16=0),"",ROUND((X20-(T.ProdStunden.Bereich/100)*X$14/12)*1440,0)/1440)</f>
        <v/>
      </c>
      <c r="Z20" s="64" t="str">
        <f ca="1">IF(Z$8="","",IF(EB.Anwendung&lt;&gt;"",IF(INDEX(April!Monat.ProjekteTotal.Bereich,Z$8)&lt;=0,0,INDEX(April!Monat.ProjekteTotal.Bereich,Z$8)),""))</f>
        <v/>
      </c>
      <c r="AA20" s="379" t="str">
        <f ca="1">IF(OR(Z20="",Eingabeblatt!$H16=0),"",ROUND((Z20-(T.ProdStunden.Bereich/100)*Z$14/12)*1440,0)/1440)</f>
        <v/>
      </c>
      <c r="AB20" s="64" t="str">
        <f ca="1">IF(AB$8="","",IF(EB.Anwendung&lt;&gt;"",IF(INDEX(April!Monat.ProjekteTotal.Bereich,AB$8)&lt;=0,0,INDEX(April!Monat.ProjekteTotal.Bereich,AB$8)),""))</f>
        <v/>
      </c>
      <c r="AC20" s="379" t="str">
        <f ca="1">IF(OR(AB20="",Eingabeblatt!$H16=0),"",ROUND((AB20-(T.ProdStunden.Bereich/100)*AB$14/12)*1440,0)/1440)</f>
        <v/>
      </c>
      <c r="AD20" s="64" t="str">
        <f ca="1">IF(AD$8="","",IF(EB.Anwendung&lt;&gt;"",IF(INDEX(April!Monat.ProjekteTotal.Bereich,AD$8)&lt;=0,0,INDEX(April!Monat.ProjekteTotal.Bereich,AD$8)),""))</f>
        <v/>
      </c>
      <c r="AE20" s="379" t="str">
        <f ca="1">IF(OR(AD20="",Eingabeblatt!$H16=0),"",ROUND((AD20-(T.ProdStunden.Bereich/100)*AD$14/12)*1440,0)/1440)</f>
        <v/>
      </c>
      <c r="AF20" s="364"/>
      <c r="AG20" s="380">
        <f t="shared" ca="1" si="0"/>
        <v>0</v>
      </c>
      <c r="AH20" s="362"/>
    </row>
    <row r="21" spans="1:34" s="4" customFormat="1" ht="15" customHeight="1" x14ac:dyDescent="0.2">
      <c r="A21" s="378" t="str">
        <f>INDEX(EB.Monate.Bereich,5,0)</f>
        <v>Mai</v>
      </c>
      <c r="B21" s="64" t="str">
        <f ca="1">IF(B$8="","",IF(EB.Anwendung&lt;&gt;"",IF(INDEX(Mai!Monat.ProjekteTotal.Bereich,B$8)&lt;=0,0,INDEX(Mai!Monat.ProjekteTotal.Bereich,B$8)),""))</f>
        <v/>
      </c>
      <c r="C21" s="379" t="str">
        <f ca="1">IF(OR(B21="",Eingabeblatt!$H17=0),"",ROUND((B21-(T.ProdStunden.Bereich/100)*B$14/12)*1440,0)/1440)</f>
        <v/>
      </c>
      <c r="D21" s="64" t="str">
        <f ca="1">IF(D$8="","",IF(EB.Anwendung&lt;&gt;"",IF(INDEX(Mai!Monat.ProjekteTotal.Bereich,D$8)&lt;=0,0,INDEX(Mai!Monat.ProjekteTotal.Bereich,D$8)),""))</f>
        <v/>
      </c>
      <c r="E21" s="379" t="str">
        <f ca="1">IF(OR(D21="",Eingabeblatt!$H17=0),"",ROUND((D21-(T.ProdStunden.Bereich/100)*D$14/12)*1440,0)/1440)</f>
        <v/>
      </c>
      <c r="F21" s="64" t="str">
        <f ca="1">IF(F$8="","",IF(EB.Anwendung&lt;&gt;"",IF(INDEX(Mai!Monat.ProjekteTotal.Bereich,F$8)&lt;=0,0,INDEX(Mai!Monat.ProjekteTotal.Bereich,F$8)),""))</f>
        <v/>
      </c>
      <c r="G21" s="379" t="str">
        <f ca="1">IF(OR(F21="",Eingabeblatt!$H17=0),"",ROUND((F21-(T.ProdStunden.Bereich/100)*F$14/12)*1440,0)/1440)</f>
        <v/>
      </c>
      <c r="H21" s="64" t="str">
        <f ca="1">IF(H$8="","",IF(EB.Anwendung&lt;&gt;"",IF(INDEX(Mai!Monat.ProjekteTotal.Bereich,H$8)&lt;=0,0,INDEX(Mai!Monat.ProjekteTotal.Bereich,H$8)),""))</f>
        <v/>
      </c>
      <c r="I21" s="379" t="str">
        <f ca="1">IF(OR(H21="",Eingabeblatt!$H17=0),"",ROUND((H21-(T.ProdStunden.Bereich/100)*H$14/12)*1440,0)/1440)</f>
        <v/>
      </c>
      <c r="J21" s="64" t="str">
        <f ca="1">IF(J$8="","",IF(EB.Anwendung&lt;&gt;"",IF(INDEX(Mai!Monat.ProjekteTotal.Bereich,J$8)&lt;=0,0,INDEX(Mai!Monat.ProjekteTotal.Bereich,J$8)),""))</f>
        <v/>
      </c>
      <c r="K21" s="379" t="str">
        <f ca="1">IF(OR(J21="",Eingabeblatt!$H17=0),"",ROUND((J21-(T.ProdStunden.Bereich/100)*J$14/12)*1440,0)/1440)</f>
        <v/>
      </c>
      <c r="L21" s="64" t="str">
        <f ca="1">IF(L$8="","",IF(EB.Anwendung&lt;&gt;"",IF(INDEX(Mai!Monat.ProjekteTotal.Bereich,L$8)&lt;=0,0,INDEX(Mai!Monat.ProjekteTotal.Bereich,L$8)),""))</f>
        <v/>
      </c>
      <c r="M21" s="379" t="str">
        <f ca="1">IF(OR(L21="",Eingabeblatt!$H17=0),"",ROUND((L21-(T.ProdStunden.Bereich/100)*L$14/12)*1440,0)/1440)</f>
        <v/>
      </c>
      <c r="N21" s="64" t="str">
        <f ca="1">IF(N$8="","",IF(EB.Anwendung&lt;&gt;"",IF(INDEX(Mai!Monat.ProjekteTotal.Bereich,N$8)&lt;=0,0,INDEX(Mai!Monat.ProjekteTotal.Bereich,N$8)),""))</f>
        <v/>
      </c>
      <c r="O21" s="379" t="str">
        <f ca="1">IF(OR(N21="",Eingabeblatt!$H17=0),"",ROUND((N21-(T.ProdStunden.Bereich/100)*N$14/12)*1440,0)/1440)</f>
        <v/>
      </c>
      <c r="P21" s="64" t="str">
        <f ca="1">IF(P$8="","",IF(EB.Anwendung&lt;&gt;"",IF(INDEX(Mai!Monat.ProjekteTotal.Bereich,P$8)&lt;=0,0,INDEX(Mai!Monat.ProjekteTotal.Bereich,P$8)),""))</f>
        <v/>
      </c>
      <c r="Q21" s="379" t="str">
        <f ca="1">IF(OR(P21="",Eingabeblatt!$H17=0),"",ROUND((P21-(T.ProdStunden.Bereich/100)*P$14/12)*1440,0)/1440)</f>
        <v/>
      </c>
      <c r="R21" s="64" t="str">
        <f ca="1">IF(R$8="","",IF(EB.Anwendung&lt;&gt;"",IF(INDEX(Mai!Monat.ProjekteTotal.Bereich,R$8)&lt;=0,0,INDEX(Mai!Monat.ProjekteTotal.Bereich,R$8)),""))</f>
        <v/>
      </c>
      <c r="S21" s="379" t="str">
        <f ca="1">IF(OR(R21="",Eingabeblatt!$H17=0),"",ROUND((R21-(T.ProdStunden.Bereich/100)*R$14/12)*1440,0)/1440)</f>
        <v/>
      </c>
      <c r="T21" s="64" t="str">
        <f ca="1">IF(T$8="","",IF(EB.Anwendung&lt;&gt;"",IF(INDEX(Mai!Monat.ProjekteTotal.Bereich,T$8)&lt;=0,0,INDEX(Mai!Monat.ProjekteTotal.Bereich,T$8)),""))</f>
        <v/>
      </c>
      <c r="U21" s="379" t="str">
        <f ca="1">IF(OR(T21="",Eingabeblatt!$H17=0),"",ROUND((T21-(T.ProdStunden.Bereich/100)*T$14/12)*1440,0)/1440)</f>
        <v/>
      </c>
      <c r="V21" s="64" t="str">
        <f ca="1">IF(V$8="","",IF(EB.Anwendung&lt;&gt;"",IF(INDEX(Mai!Monat.ProjekteTotal.Bereich,V$8)&lt;=0,0,INDEX(Mai!Monat.ProjekteTotal.Bereich,V$8)),""))</f>
        <v/>
      </c>
      <c r="W21" s="379" t="str">
        <f ca="1">IF(OR(V21="",Eingabeblatt!$H17=0),"",ROUND((V21-(T.ProdStunden.Bereich/100)*V$14/12)*1440,0)/1440)</f>
        <v/>
      </c>
      <c r="X21" s="64" t="str">
        <f ca="1">IF(X$8="","",IF(EB.Anwendung&lt;&gt;"",IF(INDEX(Mai!Monat.ProjekteTotal.Bereich,X$8)&lt;=0,0,INDEX(Mai!Monat.ProjekteTotal.Bereich,X$8)),""))</f>
        <v/>
      </c>
      <c r="Y21" s="379" t="str">
        <f ca="1">IF(OR(X21="",Eingabeblatt!$H17=0),"",ROUND((X21-(T.ProdStunden.Bereich/100)*X$14/12)*1440,0)/1440)</f>
        <v/>
      </c>
      <c r="Z21" s="64" t="str">
        <f ca="1">IF(Z$8="","",IF(EB.Anwendung&lt;&gt;"",IF(INDEX(Mai!Monat.ProjekteTotal.Bereich,Z$8)&lt;=0,0,INDEX(Mai!Monat.ProjekteTotal.Bereich,Z$8)),""))</f>
        <v/>
      </c>
      <c r="AA21" s="379" t="str">
        <f ca="1">IF(OR(Z21="",Eingabeblatt!$H17=0),"",ROUND((Z21-(T.ProdStunden.Bereich/100)*Z$14/12)*1440,0)/1440)</f>
        <v/>
      </c>
      <c r="AB21" s="64" t="str">
        <f ca="1">IF(AB$8="","",IF(EB.Anwendung&lt;&gt;"",IF(INDEX(Mai!Monat.ProjekteTotal.Bereich,AB$8)&lt;=0,0,INDEX(Mai!Monat.ProjekteTotal.Bereich,AB$8)),""))</f>
        <v/>
      </c>
      <c r="AC21" s="379" t="str">
        <f ca="1">IF(OR(AB21="",Eingabeblatt!$H17=0),"",ROUND((AB21-(T.ProdStunden.Bereich/100)*AB$14/12)*1440,0)/1440)</f>
        <v/>
      </c>
      <c r="AD21" s="64" t="str">
        <f ca="1">IF(AD$8="","",IF(EB.Anwendung&lt;&gt;"",IF(INDEX(Mai!Monat.ProjekteTotal.Bereich,AD$8)&lt;=0,0,INDEX(Mai!Monat.ProjekteTotal.Bereich,AD$8)),""))</f>
        <v/>
      </c>
      <c r="AE21" s="379" t="str">
        <f ca="1">IF(OR(AD21="",Eingabeblatt!$H17=0),"",ROUND((AD21-(T.ProdStunden.Bereich/100)*AD$14/12)*1440,0)/1440)</f>
        <v/>
      </c>
      <c r="AF21" s="364"/>
      <c r="AG21" s="380">
        <f t="shared" ca="1" si="0"/>
        <v>0</v>
      </c>
      <c r="AH21" s="362"/>
    </row>
    <row r="22" spans="1:34" s="4" customFormat="1" ht="15" customHeight="1" x14ac:dyDescent="0.2">
      <c r="A22" s="378" t="str">
        <f>INDEX(EB.Monate.Bereich,6,0)</f>
        <v>Juni</v>
      </c>
      <c r="B22" s="64" t="str">
        <f ca="1">IF(B$8="","",IF(EB.Anwendung&lt;&gt;"",IF(INDEX(Juni!Monat.ProjekteTotal.Bereich,B$8)&lt;=0,0,INDEX(Juni!Monat.ProjekteTotal.Bereich,B$8)),""))</f>
        <v/>
      </c>
      <c r="C22" s="379" t="str">
        <f ca="1">IF(OR(B22="",Eingabeblatt!$H18=0),"",ROUND((B22-(T.ProdStunden.Bereich/100)*B$14/12)*1440,0)/1440)</f>
        <v/>
      </c>
      <c r="D22" s="64" t="str">
        <f ca="1">IF(D$8="","",IF(EB.Anwendung&lt;&gt;"",IF(INDEX(Juni!Monat.ProjekteTotal.Bereich,D$8)&lt;=0,0,INDEX(Juni!Monat.ProjekteTotal.Bereich,D$8)),""))</f>
        <v/>
      </c>
      <c r="E22" s="379" t="str">
        <f ca="1">IF(OR(D22="",Eingabeblatt!$H18=0),"",ROUND((D22-(T.ProdStunden.Bereich/100)*D$14/12)*1440,0)/1440)</f>
        <v/>
      </c>
      <c r="F22" s="64" t="str">
        <f ca="1">IF(F$8="","",IF(EB.Anwendung&lt;&gt;"",IF(INDEX(Juni!Monat.ProjekteTotal.Bereich,F$8)&lt;=0,0,INDEX(Juni!Monat.ProjekteTotal.Bereich,F$8)),""))</f>
        <v/>
      </c>
      <c r="G22" s="379" t="str">
        <f ca="1">IF(OR(F22="",Eingabeblatt!$H18=0),"",ROUND((F22-(T.ProdStunden.Bereich/100)*F$14/12)*1440,0)/1440)</f>
        <v/>
      </c>
      <c r="H22" s="64" t="str">
        <f ca="1">IF(H$8="","",IF(EB.Anwendung&lt;&gt;"",IF(INDEX(Juni!Monat.ProjekteTotal.Bereich,H$8)&lt;=0,0,INDEX(Juni!Monat.ProjekteTotal.Bereich,H$8)),""))</f>
        <v/>
      </c>
      <c r="I22" s="379" t="str">
        <f ca="1">IF(OR(H22="",Eingabeblatt!$H18=0),"",ROUND((H22-(T.ProdStunden.Bereich/100)*H$14/12)*1440,0)/1440)</f>
        <v/>
      </c>
      <c r="J22" s="64" t="str">
        <f ca="1">IF(J$8="","",IF(EB.Anwendung&lt;&gt;"",IF(INDEX(Juni!Monat.ProjekteTotal.Bereich,J$8)&lt;=0,0,INDEX(Juni!Monat.ProjekteTotal.Bereich,J$8)),""))</f>
        <v/>
      </c>
      <c r="K22" s="379" t="str">
        <f ca="1">IF(OR(J22="",Eingabeblatt!$H18=0),"",ROUND((J22-(T.ProdStunden.Bereich/100)*J$14/12)*1440,0)/1440)</f>
        <v/>
      </c>
      <c r="L22" s="64" t="str">
        <f ca="1">IF(L$8="","",IF(EB.Anwendung&lt;&gt;"",IF(INDEX(Juni!Monat.ProjekteTotal.Bereich,L$8)&lt;=0,0,INDEX(Juni!Monat.ProjekteTotal.Bereich,L$8)),""))</f>
        <v/>
      </c>
      <c r="M22" s="379" t="str">
        <f ca="1">IF(OR(L22="",Eingabeblatt!$H18=0),"",ROUND((L22-(T.ProdStunden.Bereich/100)*L$14/12)*1440,0)/1440)</f>
        <v/>
      </c>
      <c r="N22" s="64" t="str">
        <f ca="1">IF(N$8="","",IF(EB.Anwendung&lt;&gt;"",IF(INDEX(Juni!Monat.ProjekteTotal.Bereich,N$8)&lt;=0,0,INDEX(Juni!Monat.ProjekteTotal.Bereich,N$8)),""))</f>
        <v/>
      </c>
      <c r="O22" s="379" t="str">
        <f ca="1">IF(OR(N22="",Eingabeblatt!$H18=0),"",ROUND((N22-(T.ProdStunden.Bereich/100)*N$14/12)*1440,0)/1440)</f>
        <v/>
      </c>
      <c r="P22" s="64" t="str">
        <f ca="1">IF(P$8="","",IF(EB.Anwendung&lt;&gt;"",IF(INDEX(Juni!Monat.ProjekteTotal.Bereich,P$8)&lt;=0,0,INDEX(Juni!Monat.ProjekteTotal.Bereich,P$8)),""))</f>
        <v/>
      </c>
      <c r="Q22" s="379" t="str">
        <f ca="1">IF(OR(P22="",Eingabeblatt!$H18=0),"",ROUND((P22-(T.ProdStunden.Bereich/100)*P$14/12)*1440,0)/1440)</f>
        <v/>
      </c>
      <c r="R22" s="64" t="str">
        <f ca="1">IF(R$8="","",IF(EB.Anwendung&lt;&gt;"",IF(INDEX(Juni!Monat.ProjekteTotal.Bereich,R$8)&lt;=0,0,INDEX(Juni!Monat.ProjekteTotal.Bereich,R$8)),""))</f>
        <v/>
      </c>
      <c r="S22" s="379" t="str">
        <f ca="1">IF(OR(R22="",Eingabeblatt!$H18=0),"",ROUND((R22-(T.ProdStunden.Bereich/100)*R$14/12)*1440,0)/1440)</f>
        <v/>
      </c>
      <c r="T22" s="64" t="str">
        <f ca="1">IF(T$8="","",IF(EB.Anwendung&lt;&gt;"",IF(INDEX(Juni!Monat.ProjekteTotal.Bereich,T$8)&lt;=0,0,INDEX(Juni!Monat.ProjekteTotal.Bereich,T$8)),""))</f>
        <v/>
      </c>
      <c r="U22" s="379" t="str">
        <f ca="1">IF(OR(T22="",Eingabeblatt!$H18=0),"",ROUND((T22-(T.ProdStunden.Bereich/100)*T$14/12)*1440,0)/1440)</f>
        <v/>
      </c>
      <c r="V22" s="64" t="str">
        <f ca="1">IF(V$8="","",IF(EB.Anwendung&lt;&gt;"",IF(INDEX(Juni!Monat.ProjekteTotal.Bereich,V$8)&lt;=0,0,INDEX(Juni!Monat.ProjekteTotal.Bereich,V$8)),""))</f>
        <v/>
      </c>
      <c r="W22" s="379" t="str">
        <f ca="1">IF(OR(V22="",Eingabeblatt!$H18=0),"",ROUND((V22-(T.ProdStunden.Bereich/100)*V$14/12)*1440,0)/1440)</f>
        <v/>
      </c>
      <c r="X22" s="64" t="str">
        <f ca="1">IF(X$8="","",IF(EB.Anwendung&lt;&gt;"",IF(INDEX(Juni!Monat.ProjekteTotal.Bereich,X$8)&lt;=0,0,INDEX(Juni!Monat.ProjekteTotal.Bereich,X$8)),""))</f>
        <v/>
      </c>
      <c r="Y22" s="379" t="str">
        <f ca="1">IF(OR(X22="",Eingabeblatt!$H18=0),"",ROUND((X22-(T.ProdStunden.Bereich/100)*X$14/12)*1440,0)/1440)</f>
        <v/>
      </c>
      <c r="Z22" s="64" t="str">
        <f ca="1">IF(Z$8="","",IF(EB.Anwendung&lt;&gt;"",IF(INDEX(Juni!Monat.ProjekteTotal.Bereich,Z$8)&lt;=0,0,INDEX(Juni!Monat.ProjekteTotal.Bereich,Z$8)),""))</f>
        <v/>
      </c>
      <c r="AA22" s="379" t="str">
        <f ca="1">IF(OR(Z22="",Eingabeblatt!$H18=0),"",ROUND((Z22-(T.ProdStunden.Bereich/100)*Z$14/12)*1440,0)/1440)</f>
        <v/>
      </c>
      <c r="AB22" s="64" t="str">
        <f ca="1">IF(AB$8="","",IF(EB.Anwendung&lt;&gt;"",IF(INDEX(Juni!Monat.ProjekteTotal.Bereich,AB$8)&lt;=0,0,INDEX(Juni!Monat.ProjekteTotal.Bereich,AB$8)),""))</f>
        <v/>
      </c>
      <c r="AC22" s="379" t="str">
        <f ca="1">IF(OR(AB22="",Eingabeblatt!$H18=0),"",ROUND((AB22-(T.ProdStunden.Bereich/100)*AB$14/12)*1440,0)/1440)</f>
        <v/>
      </c>
      <c r="AD22" s="64" t="str">
        <f ca="1">IF(AD$8="","",IF(EB.Anwendung&lt;&gt;"",IF(INDEX(Juni!Monat.ProjekteTotal.Bereich,AD$8)&lt;=0,0,INDEX(Juni!Monat.ProjekteTotal.Bereich,AD$8)),""))</f>
        <v/>
      </c>
      <c r="AE22" s="379" t="str">
        <f ca="1">IF(OR(AD22="",Eingabeblatt!$H18=0),"",ROUND((AD22-(T.ProdStunden.Bereich/100)*AD$14/12)*1440,0)/1440)</f>
        <v/>
      </c>
      <c r="AF22" s="364"/>
      <c r="AG22" s="380">
        <f t="shared" ca="1" si="0"/>
        <v>0</v>
      </c>
      <c r="AH22" s="362"/>
    </row>
    <row r="23" spans="1:34" s="4" customFormat="1" ht="15" customHeight="1" x14ac:dyDescent="0.2">
      <c r="A23" s="378" t="str">
        <f>INDEX(EB.Monate.Bereich,7,0)</f>
        <v>Juli</v>
      </c>
      <c r="B23" s="64" t="str">
        <f ca="1">IF(B$8="","",IF(EB.Anwendung&lt;&gt;"",IF(INDEX(Juli!Monat.ProjekteTotal.Bereich,B$8)&lt;=0,0,INDEX(Juli!Monat.ProjekteTotal.Bereich,B$8)),""))</f>
        <v/>
      </c>
      <c r="C23" s="379" t="str">
        <f ca="1">IF(OR(B23="",Eingabeblatt!$H19=0),"",ROUND((B23-(T.ProdStunden.Bereich/100)*B$14/12)*1440,0)/1440)</f>
        <v/>
      </c>
      <c r="D23" s="64" t="str">
        <f ca="1">IF(D$8="","",IF(EB.Anwendung&lt;&gt;"",IF(INDEX(Juli!Monat.ProjekteTotal.Bereich,D$8)&lt;=0,0,INDEX(Juli!Monat.ProjekteTotal.Bereich,D$8)),""))</f>
        <v/>
      </c>
      <c r="E23" s="379" t="str">
        <f ca="1">IF(OR(D23="",Eingabeblatt!$H19=0),"",ROUND((D23-(T.ProdStunden.Bereich/100)*D$14/12)*1440,0)/1440)</f>
        <v/>
      </c>
      <c r="F23" s="64" t="str">
        <f ca="1">IF(F$8="","",IF(EB.Anwendung&lt;&gt;"",IF(INDEX(Juli!Monat.ProjekteTotal.Bereich,F$8)&lt;=0,0,INDEX(Juli!Monat.ProjekteTotal.Bereich,F$8)),""))</f>
        <v/>
      </c>
      <c r="G23" s="379" t="str">
        <f ca="1">IF(OR(F23="",Eingabeblatt!$H19=0),"",ROUND((F23-(T.ProdStunden.Bereich/100)*F$14/12)*1440,0)/1440)</f>
        <v/>
      </c>
      <c r="H23" s="64" t="str">
        <f ca="1">IF(H$8="","",IF(EB.Anwendung&lt;&gt;"",IF(INDEX(Juli!Monat.ProjekteTotal.Bereich,H$8)&lt;=0,0,INDEX(Juli!Monat.ProjekteTotal.Bereich,H$8)),""))</f>
        <v/>
      </c>
      <c r="I23" s="379" t="str">
        <f ca="1">IF(OR(H23="",Eingabeblatt!$H19=0),"",ROUND((H23-(T.ProdStunden.Bereich/100)*H$14/12)*1440,0)/1440)</f>
        <v/>
      </c>
      <c r="J23" s="64" t="str">
        <f ca="1">IF(J$8="","",IF(EB.Anwendung&lt;&gt;"",IF(INDEX(Juli!Monat.ProjekteTotal.Bereich,J$8)&lt;=0,0,INDEX(Juli!Monat.ProjekteTotal.Bereich,J$8)),""))</f>
        <v/>
      </c>
      <c r="K23" s="379" t="str">
        <f ca="1">IF(OR(J23="",Eingabeblatt!$H19=0),"",ROUND((J23-(T.ProdStunden.Bereich/100)*J$14/12)*1440,0)/1440)</f>
        <v/>
      </c>
      <c r="L23" s="64" t="str">
        <f ca="1">IF(L$8="","",IF(EB.Anwendung&lt;&gt;"",IF(INDEX(Juli!Monat.ProjekteTotal.Bereich,L$8)&lt;=0,0,INDEX(Juli!Monat.ProjekteTotal.Bereich,L$8)),""))</f>
        <v/>
      </c>
      <c r="M23" s="379" t="str">
        <f ca="1">IF(OR(L23="",Eingabeblatt!$H19=0),"",ROUND((L23-(T.ProdStunden.Bereich/100)*L$14/12)*1440,0)/1440)</f>
        <v/>
      </c>
      <c r="N23" s="64" t="str">
        <f ca="1">IF(N$8="","",IF(EB.Anwendung&lt;&gt;"",IF(INDEX(Juli!Monat.ProjekteTotal.Bereich,N$8)&lt;=0,0,INDEX(Juli!Monat.ProjekteTotal.Bereich,N$8)),""))</f>
        <v/>
      </c>
      <c r="O23" s="379" t="str">
        <f ca="1">IF(OR(N23="",Eingabeblatt!$H19=0),"",ROUND((N23-(T.ProdStunden.Bereich/100)*N$14/12)*1440,0)/1440)</f>
        <v/>
      </c>
      <c r="P23" s="64" t="str">
        <f ca="1">IF(P$8="","",IF(EB.Anwendung&lt;&gt;"",IF(INDEX(Juli!Monat.ProjekteTotal.Bereich,P$8)&lt;=0,0,INDEX(Juli!Monat.ProjekteTotal.Bereich,P$8)),""))</f>
        <v/>
      </c>
      <c r="Q23" s="379" t="str">
        <f ca="1">IF(OR(P23="",Eingabeblatt!$H19=0),"",ROUND((P23-(T.ProdStunden.Bereich/100)*P$14/12)*1440,0)/1440)</f>
        <v/>
      </c>
      <c r="R23" s="64" t="str">
        <f ca="1">IF(R$8="","",IF(EB.Anwendung&lt;&gt;"",IF(INDEX(Juli!Monat.ProjekteTotal.Bereich,R$8)&lt;=0,0,INDEX(Juli!Monat.ProjekteTotal.Bereich,R$8)),""))</f>
        <v/>
      </c>
      <c r="S23" s="379" t="str">
        <f ca="1">IF(OR(R23="",Eingabeblatt!$H19=0),"",ROUND((R23-(T.ProdStunden.Bereich/100)*R$14/12)*1440,0)/1440)</f>
        <v/>
      </c>
      <c r="T23" s="64" t="str">
        <f ca="1">IF(T$8="","",IF(EB.Anwendung&lt;&gt;"",IF(INDEX(Juli!Monat.ProjekteTotal.Bereich,T$8)&lt;=0,0,INDEX(Juli!Monat.ProjekteTotal.Bereich,T$8)),""))</f>
        <v/>
      </c>
      <c r="U23" s="379" t="str">
        <f ca="1">IF(OR(T23="",Eingabeblatt!$H19=0),"",ROUND((T23-(T.ProdStunden.Bereich/100)*T$14/12)*1440,0)/1440)</f>
        <v/>
      </c>
      <c r="V23" s="64" t="str">
        <f ca="1">IF(V$8="","",IF(EB.Anwendung&lt;&gt;"",IF(INDEX(Juli!Monat.ProjekteTotal.Bereich,V$8)&lt;=0,0,INDEX(Juli!Monat.ProjekteTotal.Bereich,V$8)),""))</f>
        <v/>
      </c>
      <c r="W23" s="379" t="str">
        <f ca="1">IF(OR(V23="",Eingabeblatt!$H19=0),"",ROUND((V23-(T.ProdStunden.Bereich/100)*V$14/12)*1440,0)/1440)</f>
        <v/>
      </c>
      <c r="X23" s="64" t="str">
        <f ca="1">IF(X$8="","",IF(EB.Anwendung&lt;&gt;"",IF(INDEX(Juli!Monat.ProjekteTotal.Bereich,X$8)&lt;=0,0,INDEX(Juli!Monat.ProjekteTotal.Bereich,X$8)),""))</f>
        <v/>
      </c>
      <c r="Y23" s="379" t="str">
        <f ca="1">IF(OR(X23="",Eingabeblatt!$H19=0),"",ROUND((X23-(T.ProdStunden.Bereich/100)*X$14/12)*1440,0)/1440)</f>
        <v/>
      </c>
      <c r="Z23" s="64" t="str">
        <f ca="1">IF(Z$8="","",IF(EB.Anwendung&lt;&gt;"",IF(INDEX(Juli!Monat.ProjekteTotal.Bereich,Z$8)&lt;=0,0,INDEX(Juli!Monat.ProjekteTotal.Bereich,Z$8)),""))</f>
        <v/>
      </c>
      <c r="AA23" s="379" t="str">
        <f ca="1">IF(OR(Z23="",Eingabeblatt!$H19=0),"",ROUND((Z23-(T.ProdStunden.Bereich/100)*Z$14/12)*1440,0)/1440)</f>
        <v/>
      </c>
      <c r="AB23" s="64" t="str">
        <f ca="1">IF(AB$8="","",IF(EB.Anwendung&lt;&gt;"",IF(INDEX(Juli!Monat.ProjekteTotal.Bereich,AB$8)&lt;=0,0,INDEX(Juli!Monat.ProjekteTotal.Bereich,AB$8)),""))</f>
        <v/>
      </c>
      <c r="AC23" s="379" t="str">
        <f ca="1">IF(OR(AB23="",Eingabeblatt!$H19=0),"",ROUND((AB23-(T.ProdStunden.Bereich/100)*AB$14/12)*1440,0)/1440)</f>
        <v/>
      </c>
      <c r="AD23" s="64" t="str">
        <f ca="1">IF(AD$8="","",IF(EB.Anwendung&lt;&gt;"",IF(INDEX(Juli!Monat.ProjekteTotal.Bereich,AD$8)&lt;=0,0,INDEX(Juli!Monat.ProjekteTotal.Bereich,AD$8)),""))</f>
        <v/>
      </c>
      <c r="AE23" s="379" t="str">
        <f ca="1">IF(OR(AD23="",Eingabeblatt!$H19=0),"",ROUND((AD23-(T.ProdStunden.Bereich/100)*AD$14/12)*1440,0)/1440)</f>
        <v/>
      </c>
      <c r="AF23" s="364"/>
      <c r="AG23" s="380">
        <f t="shared" ca="1" si="0"/>
        <v>0</v>
      </c>
      <c r="AH23" s="362"/>
    </row>
    <row r="24" spans="1:34" s="4" customFormat="1" ht="15" customHeight="1" x14ac:dyDescent="0.2">
      <c r="A24" s="378" t="str">
        <f>INDEX(EB.Monate.Bereich,8,0)</f>
        <v>August</v>
      </c>
      <c r="B24" s="64" t="str">
        <f ca="1">IF(B$8="","",IF(EB.Anwendung&lt;&gt;"",IF(INDEX(August!Monat.ProjekteTotal.Bereich,B$8)&lt;=0,0,INDEX(August!Monat.ProjekteTotal.Bereich,B$8)),""))</f>
        <v/>
      </c>
      <c r="C24" s="379" t="str">
        <f ca="1">IF(OR(B24="",Eingabeblatt!$H20=0),"",ROUND((B24-(T.ProdStunden.Bereich/100)*B$14/12)*1440,0)/1440)</f>
        <v/>
      </c>
      <c r="D24" s="64" t="str">
        <f ca="1">IF(D$8="","",IF(EB.Anwendung&lt;&gt;"",IF(INDEX(August!Monat.ProjekteTotal.Bereich,D$8)&lt;=0,0,INDEX(August!Monat.ProjekteTotal.Bereich,D$8)),""))</f>
        <v/>
      </c>
      <c r="E24" s="379" t="str">
        <f ca="1">IF(OR(D24="",Eingabeblatt!$H20=0),"",ROUND((D24-(T.ProdStunden.Bereich/100)*D$14/12)*1440,0)/1440)</f>
        <v/>
      </c>
      <c r="F24" s="64" t="str">
        <f ca="1">IF(F$8="","",IF(EB.Anwendung&lt;&gt;"",IF(INDEX(August!Monat.ProjekteTotal.Bereich,F$8)&lt;=0,0,INDEX(August!Monat.ProjekteTotal.Bereich,F$8)),""))</f>
        <v/>
      </c>
      <c r="G24" s="379" t="str">
        <f ca="1">IF(OR(F24="",Eingabeblatt!$H20=0),"",ROUND((F24-(T.ProdStunden.Bereich/100)*F$14/12)*1440,0)/1440)</f>
        <v/>
      </c>
      <c r="H24" s="64" t="str">
        <f ca="1">IF(H$8="","",IF(EB.Anwendung&lt;&gt;"",IF(INDEX(August!Monat.ProjekteTotal.Bereich,H$8)&lt;=0,0,INDEX(August!Monat.ProjekteTotal.Bereich,H$8)),""))</f>
        <v/>
      </c>
      <c r="I24" s="379" t="str">
        <f ca="1">IF(OR(H24="",Eingabeblatt!$H20=0),"",ROUND((H24-(T.ProdStunden.Bereich/100)*H$14/12)*1440,0)/1440)</f>
        <v/>
      </c>
      <c r="J24" s="64" t="str">
        <f ca="1">IF(J$8="","",IF(EB.Anwendung&lt;&gt;"",IF(INDEX(August!Monat.ProjekteTotal.Bereich,J$8)&lt;=0,0,INDEX(August!Monat.ProjekteTotal.Bereich,J$8)),""))</f>
        <v/>
      </c>
      <c r="K24" s="379" t="str">
        <f ca="1">IF(OR(J24="",Eingabeblatt!$H20=0),"",ROUND((J24-(T.ProdStunden.Bereich/100)*J$14/12)*1440,0)/1440)</f>
        <v/>
      </c>
      <c r="L24" s="64" t="str">
        <f ca="1">IF(L$8="","",IF(EB.Anwendung&lt;&gt;"",IF(INDEX(August!Monat.ProjekteTotal.Bereich,L$8)&lt;=0,0,INDEX(August!Monat.ProjekteTotal.Bereich,L$8)),""))</f>
        <v/>
      </c>
      <c r="M24" s="379" t="str">
        <f ca="1">IF(OR(L24="",Eingabeblatt!$H20=0),"",ROUND((L24-(T.ProdStunden.Bereich/100)*L$14/12)*1440,0)/1440)</f>
        <v/>
      </c>
      <c r="N24" s="64" t="str">
        <f ca="1">IF(N$8="","",IF(EB.Anwendung&lt;&gt;"",IF(INDEX(August!Monat.ProjekteTotal.Bereich,N$8)&lt;=0,0,INDEX(August!Monat.ProjekteTotal.Bereich,N$8)),""))</f>
        <v/>
      </c>
      <c r="O24" s="379" t="str">
        <f ca="1">IF(OR(N24="",Eingabeblatt!$H20=0),"",ROUND((N24-(T.ProdStunden.Bereich/100)*N$14/12)*1440,0)/1440)</f>
        <v/>
      </c>
      <c r="P24" s="64" t="str">
        <f ca="1">IF(P$8="","",IF(EB.Anwendung&lt;&gt;"",IF(INDEX(August!Monat.ProjekteTotal.Bereich,P$8)&lt;=0,0,INDEX(August!Monat.ProjekteTotal.Bereich,P$8)),""))</f>
        <v/>
      </c>
      <c r="Q24" s="379" t="str">
        <f ca="1">IF(OR(P24="",Eingabeblatt!$H20=0),"",ROUND((P24-(T.ProdStunden.Bereich/100)*P$14/12)*1440,0)/1440)</f>
        <v/>
      </c>
      <c r="R24" s="64" t="str">
        <f ca="1">IF(R$8="","",IF(EB.Anwendung&lt;&gt;"",IF(INDEX(August!Monat.ProjekteTotal.Bereich,R$8)&lt;=0,0,INDEX(August!Monat.ProjekteTotal.Bereich,R$8)),""))</f>
        <v/>
      </c>
      <c r="S24" s="379" t="str">
        <f ca="1">IF(OR(R24="",Eingabeblatt!$H20=0),"",ROUND((R24-(T.ProdStunden.Bereich/100)*R$14/12)*1440,0)/1440)</f>
        <v/>
      </c>
      <c r="T24" s="64" t="str">
        <f ca="1">IF(T$8="","",IF(EB.Anwendung&lt;&gt;"",IF(INDEX(August!Monat.ProjekteTotal.Bereich,T$8)&lt;=0,0,INDEX(August!Monat.ProjekteTotal.Bereich,T$8)),""))</f>
        <v/>
      </c>
      <c r="U24" s="379" t="str">
        <f ca="1">IF(OR(T24="",Eingabeblatt!$H20=0),"",ROUND((T24-(T.ProdStunden.Bereich/100)*T$14/12)*1440,0)/1440)</f>
        <v/>
      </c>
      <c r="V24" s="64" t="str">
        <f ca="1">IF(V$8="","",IF(EB.Anwendung&lt;&gt;"",IF(INDEX(August!Monat.ProjekteTotal.Bereich,V$8)&lt;=0,0,INDEX(August!Monat.ProjekteTotal.Bereich,V$8)),""))</f>
        <v/>
      </c>
      <c r="W24" s="379" t="str">
        <f ca="1">IF(OR(V24="",Eingabeblatt!$H20=0),"",ROUND((V24-(T.ProdStunden.Bereich/100)*V$14/12)*1440,0)/1440)</f>
        <v/>
      </c>
      <c r="X24" s="64" t="str">
        <f ca="1">IF(X$8="","",IF(EB.Anwendung&lt;&gt;"",IF(INDEX(August!Monat.ProjekteTotal.Bereich,X$8)&lt;=0,0,INDEX(August!Monat.ProjekteTotal.Bereich,X$8)),""))</f>
        <v/>
      </c>
      <c r="Y24" s="379" t="str">
        <f ca="1">IF(OR(X24="",Eingabeblatt!$H20=0),"",ROUND((X24-(T.ProdStunden.Bereich/100)*X$14/12)*1440,0)/1440)</f>
        <v/>
      </c>
      <c r="Z24" s="64" t="str">
        <f ca="1">IF(Z$8="","",IF(EB.Anwendung&lt;&gt;"",IF(INDEX(August!Monat.ProjekteTotal.Bereich,Z$8)&lt;=0,0,INDEX(August!Monat.ProjekteTotal.Bereich,Z$8)),""))</f>
        <v/>
      </c>
      <c r="AA24" s="379" t="str">
        <f ca="1">IF(OR(Z24="",Eingabeblatt!$H20=0),"",ROUND((Z24-(T.ProdStunden.Bereich/100)*Z$14/12)*1440,0)/1440)</f>
        <v/>
      </c>
      <c r="AB24" s="64" t="str">
        <f ca="1">IF(AB$8="","",IF(EB.Anwendung&lt;&gt;"",IF(INDEX(August!Monat.ProjekteTotal.Bereich,AB$8)&lt;=0,0,INDEX(August!Monat.ProjekteTotal.Bereich,AB$8)),""))</f>
        <v/>
      </c>
      <c r="AC24" s="379" t="str">
        <f ca="1">IF(OR(AB24="",Eingabeblatt!$H20=0),"",ROUND((AB24-(T.ProdStunden.Bereich/100)*AB$14/12)*1440,0)/1440)</f>
        <v/>
      </c>
      <c r="AD24" s="64" t="str">
        <f ca="1">IF(AD$8="","",IF(EB.Anwendung&lt;&gt;"",IF(INDEX(August!Monat.ProjekteTotal.Bereich,AD$8)&lt;=0,0,INDEX(August!Monat.ProjekteTotal.Bereich,AD$8)),""))</f>
        <v/>
      </c>
      <c r="AE24" s="379" t="str">
        <f ca="1">IF(OR(AD24="",Eingabeblatt!$H20=0),"",ROUND((AD24-(T.ProdStunden.Bereich/100)*AD$14/12)*1440,0)/1440)</f>
        <v/>
      </c>
      <c r="AF24" s="364"/>
      <c r="AG24" s="380">
        <f t="shared" ca="1" si="0"/>
        <v>0</v>
      </c>
      <c r="AH24" s="362"/>
    </row>
    <row r="25" spans="1:34" s="4" customFormat="1" ht="15" customHeight="1" x14ac:dyDescent="0.2">
      <c r="A25" s="378" t="str">
        <f>INDEX(EB.Monate.Bereich,9,0)</f>
        <v>September</v>
      </c>
      <c r="B25" s="64" t="str">
        <f ca="1">IF(B$8="","",IF(EB.Anwendung&lt;&gt;"",IF(INDEX(September!Monat.ProjekteTotal.Bereich,B$8)&lt;=0,0,INDEX(September!Monat.ProjekteTotal.Bereich,B$8)),""))</f>
        <v/>
      </c>
      <c r="C25" s="379" t="str">
        <f ca="1">IF(OR(B25="",Eingabeblatt!$H21=0),"",ROUND((B25-(T.ProdStunden.Bereich/100)*B$14/12)*1440,0)/1440)</f>
        <v/>
      </c>
      <c r="D25" s="64" t="str">
        <f ca="1">IF(D$8="","",IF(EB.Anwendung&lt;&gt;"",IF(INDEX(September!Monat.ProjekteTotal.Bereich,D$8)&lt;=0,0,INDEX(September!Monat.ProjekteTotal.Bereich,D$8)),""))</f>
        <v/>
      </c>
      <c r="E25" s="379" t="str">
        <f ca="1">IF(OR(D25="",Eingabeblatt!$H21=0),"",ROUND((D25-(T.ProdStunden.Bereich/100)*D$14/12)*1440,0)/1440)</f>
        <v/>
      </c>
      <c r="F25" s="64" t="str">
        <f ca="1">IF(F$8="","",IF(EB.Anwendung&lt;&gt;"",IF(INDEX(September!Monat.ProjekteTotal.Bereich,F$8)&lt;=0,0,INDEX(September!Monat.ProjekteTotal.Bereich,F$8)),""))</f>
        <v/>
      </c>
      <c r="G25" s="379" t="str">
        <f ca="1">IF(OR(F25="",Eingabeblatt!$H21=0),"",ROUND((F25-(T.ProdStunden.Bereich/100)*F$14/12)*1440,0)/1440)</f>
        <v/>
      </c>
      <c r="H25" s="64" t="str">
        <f ca="1">IF(H$8="","",IF(EB.Anwendung&lt;&gt;"",IF(INDEX(September!Monat.ProjekteTotal.Bereich,H$8)&lt;=0,0,INDEX(September!Monat.ProjekteTotal.Bereich,H$8)),""))</f>
        <v/>
      </c>
      <c r="I25" s="379" t="str">
        <f ca="1">IF(OR(H25="",Eingabeblatt!$H21=0),"",ROUND((H25-(T.ProdStunden.Bereich/100)*H$14/12)*1440,0)/1440)</f>
        <v/>
      </c>
      <c r="J25" s="64" t="str">
        <f ca="1">IF(J$8="","",IF(EB.Anwendung&lt;&gt;"",IF(INDEX(September!Monat.ProjekteTotal.Bereich,J$8)&lt;=0,0,INDEX(September!Monat.ProjekteTotal.Bereich,J$8)),""))</f>
        <v/>
      </c>
      <c r="K25" s="379" t="str">
        <f ca="1">IF(OR(J25="",Eingabeblatt!$H21=0),"",ROUND((J25-(T.ProdStunden.Bereich/100)*J$14/12)*1440,0)/1440)</f>
        <v/>
      </c>
      <c r="L25" s="64" t="str">
        <f ca="1">IF(L$8="","",IF(EB.Anwendung&lt;&gt;"",IF(INDEX(September!Monat.ProjekteTotal.Bereich,L$8)&lt;=0,0,INDEX(September!Monat.ProjekteTotal.Bereich,L$8)),""))</f>
        <v/>
      </c>
      <c r="M25" s="379" t="str">
        <f ca="1">IF(OR(L25="",Eingabeblatt!$H21=0),"",ROUND((L25-(T.ProdStunden.Bereich/100)*L$14/12)*1440,0)/1440)</f>
        <v/>
      </c>
      <c r="N25" s="64" t="str">
        <f ca="1">IF(N$8="","",IF(EB.Anwendung&lt;&gt;"",IF(INDEX(September!Monat.ProjekteTotal.Bereich,N$8)&lt;=0,0,INDEX(September!Monat.ProjekteTotal.Bereich,N$8)),""))</f>
        <v/>
      </c>
      <c r="O25" s="379" t="str">
        <f ca="1">IF(OR(N25="",Eingabeblatt!$H21=0),"",ROUND((N25-(T.ProdStunden.Bereich/100)*N$14/12)*1440,0)/1440)</f>
        <v/>
      </c>
      <c r="P25" s="64" t="str">
        <f ca="1">IF(P$8="","",IF(EB.Anwendung&lt;&gt;"",IF(INDEX(September!Monat.ProjekteTotal.Bereich,P$8)&lt;=0,0,INDEX(September!Monat.ProjekteTotal.Bereich,P$8)),""))</f>
        <v/>
      </c>
      <c r="Q25" s="379" t="str">
        <f ca="1">IF(OR(P25="",Eingabeblatt!$H21=0),"",ROUND((P25-(T.ProdStunden.Bereich/100)*P$14/12)*1440,0)/1440)</f>
        <v/>
      </c>
      <c r="R25" s="64" t="str">
        <f ca="1">IF(R$8="","",IF(EB.Anwendung&lt;&gt;"",IF(INDEX(September!Monat.ProjekteTotal.Bereich,R$8)&lt;=0,0,INDEX(September!Monat.ProjekteTotal.Bereich,R$8)),""))</f>
        <v/>
      </c>
      <c r="S25" s="379" t="str">
        <f ca="1">IF(OR(R25="",Eingabeblatt!$H21=0),"",ROUND((R25-(T.ProdStunden.Bereich/100)*R$14/12)*1440,0)/1440)</f>
        <v/>
      </c>
      <c r="T25" s="64" t="str">
        <f ca="1">IF(T$8="","",IF(EB.Anwendung&lt;&gt;"",IF(INDEX(September!Monat.ProjekteTotal.Bereich,T$8)&lt;=0,0,INDEX(September!Monat.ProjekteTotal.Bereich,T$8)),""))</f>
        <v/>
      </c>
      <c r="U25" s="379" t="str">
        <f ca="1">IF(OR(T25="",Eingabeblatt!$H21=0),"",ROUND((T25-(T.ProdStunden.Bereich/100)*T$14/12)*1440,0)/1440)</f>
        <v/>
      </c>
      <c r="V25" s="64" t="str">
        <f ca="1">IF(V$8="","",IF(EB.Anwendung&lt;&gt;"",IF(INDEX(September!Monat.ProjekteTotal.Bereich,V$8)&lt;=0,0,INDEX(September!Monat.ProjekteTotal.Bereich,V$8)),""))</f>
        <v/>
      </c>
      <c r="W25" s="379" t="str">
        <f ca="1">IF(OR(V25="",Eingabeblatt!$H21=0),"",ROUND((V25-(T.ProdStunden.Bereich/100)*V$14/12)*1440,0)/1440)</f>
        <v/>
      </c>
      <c r="X25" s="64" t="str">
        <f ca="1">IF(X$8="","",IF(EB.Anwendung&lt;&gt;"",IF(INDEX(September!Monat.ProjekteTotal.Bereich,X$8)&lt;=0,0,INDEX(September!Monat.ProjekteTotal.Bereich,X$8)),""))</f>
        <v/>
      </c>
      <c r="Y25" s="379" t="str">
        <f ca="1">IF(OR(X25="",Eingabeblatt!$H21=0),"",ROUND((X25-(T.ProdStunden.Bereich/100)*X$14/12)*1440,0)/1440)</f>
        <v/>
      </c>
      <c r="Z25" s="64" t="str">
        <f ca="1">IF(Z$8="","",IF(EB.Anwendung&lt;&gt;"",IF(INDEX(September!Monat.ProjekteTotal.Bereich,Z$8)&lt;=0,0,INDEX(September!Monat.ProjekteTotal.Bereich,Z$8)),""))</f>
        <v/>
      </c>
      <c r="AA25" s="379" t="str">
        <f ca="1">IF(OR(Z25="",Eingabeblatt!$H21=0),"",ROUND((Z25-(T.ProdStunden.Bereich/100)*Z$14/12)*1440,0)/1440)</f>
        <v/>
      </c>
      <c r="AB25" s="64" t="str">
        <f ca="1">IF(AB$8="","",IF(EB.Anwendung&lt;&gt;"",IF(INDEX(September!Monat.ProjekteTotal.Bereich,AB$8)&lt;=0,0,INDEX(September!Monat.ProjekteTotal.Bereich,AB$8)),""))</f>
        <v/>
      </c>
      <c r="AC25" s="379" t="str">
        <f ca="1">IF(OR(AB25="",Eingabeblatt!$H21=0),"",ROUND((AB25-(T.ProdStunden.Bereich/100)*AB$14/12)*1440,0)/1440)</f>
        <v/>
      </c>
      <c r="AD25" s="64" t="str">
        <f ca="1">IF(AD$8="","",IF(EB.Anwendung&lt;&gt;"",IF(INDEX(September!Monat.ProjekteTotal.Bereich,AD$8)&lt;=0,0,INDEX(September!Monat.ProjekteTotal.Bereich,AD$8)),""))</f>
        <v/>
      </c>
      <c r="AE25" s="379" t="str">
        <f ca="1">IF(OR(AD25="",Eingabeblatt!$H21=0),"",ROUND((AD25-(T.ProdStunden.Bereich/100)*AD$14/12)*1440,0)/1440)</f>
        <v/>
      </c>
      <c r="AF25" s="364"/>
      <c r="AG25" s="380">
        <f t="shared" ca="1" si="0"/>
        <v>0</v>
      </c>
      <c r="AH25" s="362"/>
    </row>
    <row r="26" spans="1:34" s="4" customFormat="1" ht="15" customHeight="1" x14ac:dyDescent="0.2">
      <c r="A26" s="378" t="str">
        <f>INDEX(EB.Monate.Bereich,10,0)</f>
        <v>Oktober</v>
      </c>
      <c r="B26" s="64" t="str">
        <f ca="1">IF(B$8="","",IF(EB.Anwendung&lt;&gt;"",IF(INDEX(Oktober!Monat.ProjekteTotal.Bereich,B$8)&lt;=0,0,INDEX(Oktober!Monat.ProjekteTotal.Bereich,B$8)),""))</f>
        <v/>
      </c>
      <c r="C26" s="379" t="str">
        <f ca="1">IF(OR(B26="",Eingabeblatt!$H22=0),"",ROUND((B26-(T.ProdStunden.Bereich/100)*B$14/12)*1440,0)/1440)</f>
        <v/>
      </c>
      <c r="D26" s="64" t="str">
        <f ca="1">IF(D$8="","",IF(EB.Anwendung&lt;&gt;"",IF(INDEX(Oktober!Monat.ProjekteTotal.Bereich,D$8)&lt;=0,0,INDEX(Oktober!Monat.ProjekteTotal.Bereich,D$8)),""))</f>
        <v/>
      </c>
      <c r="E26" s="379" t="str">
        <f ca="1">IF(OR(D26="",Eingabeblatt!$H22=0),"",ROUND((D26-(T.ProdStunden.Bereich/100)*D$14/12)*1440,0)/1440)</f>
        <v/>
      </c>
      <c r="F26" s="64" t="str">
        <f ca="1">IF(F$8="","",IF(EB.Anwendung&lt;&gt;"",IF(INDEX(Oktober!Monat.ProjekteTotal.Bereich,F$8)&lt;=0,0,INDEX(Oktober!Monat.ProjekteTotal.Bereich,F$8)),""))</f>
        <v/>
      </c>
      <c r="G26" s="379" t="str">
        <f ca="1">IF(OR(F26="",Eingabeblatt!$H22=0),"",ROUND((F26-(T.ProdStunden.Bereich/100)*F$14/12)*1440,0)/1440)</f>
        <v/>
      </c>
      <c r="H26" s="64" t="str">
        <f ca="1">IF(H$8="","",IF(EB.Anwendung&lt;&gt;"",IF(INDEX(Oktober!Monat.ProjekteTotal.Bereich,H$8)&lt;=0,0,INDEX(Oktober!Monat.ProjekteTotal.Bereich,H$8)),""))</f>
        <v/>
      </c>
      <c r="I26" s="379" t="str">
        <f ca="1">IF(OR(H26="",Eingabeblatt!$H22=0),"",ROUND((H26-(T.ProdStunden.Bereich/100)*H$14/12)*1440,0)/1440)</f>
        <v/>
      </c>
      <c r="J26" s="64" t="str">
        <f ca="1">IF(J$8="","",IF(EB.Anwendung&lt;&gt;"",IF(INDEX(Oktober!Monat.ProjekteTotal.Bereich,J$8)&lt;=0,0,INDEX(Oktober!Monat.ProjekteTotal.Bereich,J$8)),""))</f>
        <v/>
      </c>
      <c r="K26" s="379" t="str">
        <f ca="1">IF(OR(J26="",Eingabeblatt!$H22=0),"",ROUND((J26-(T.ProdStunden.Bereich/100)*J$14/12)*1440,0)/1440)</f>
        <v/>
      </c>
      <c r="L26" s="64" t="str">
        <f ca="1">IF(L$8="","",IF(EB.Anwendung&lt;&gt;"",IF(INDEX(Oktober!Monat.ProjekteTotal.Bereich,L$8)&lt;=0,0,INDEX(Oktober!Monat.ProjekteTotal.Bereich,L$8)),""))</f>
        <v/>
      </c>
      <c r="M26" s="379" t="str">
        <f ca="1">IF(OR(L26="",Eingabeblatt!$H22=0),"",ROUND((L26-(T.ProdStunden.Bereich/100)*L$14/12)*1440,0)/1440)</f>
        <v/>
      </c>
      <c r="N26" s="64" t="str">
        <f ca="1">IF(N$8="","",IF(EB.Anwendung&lt;&gt;"",IF(INDEX(Oktober!Monat.ProjekteTotal.Bereich,N$8)&lt;=0,0,INDEX(Oktober!Monat.ProjekteTotal.Bereich,N$8)),""))</f>
        <v/>
      </c>
      <c r="O26" s="379" t="str">
        <f ca="1">IF(OR(N26="",Eingabeblatt!$H22=0),"",ROUND((N26-(T.ProdStunden.Bereich/100)*N$14/12)*1440,0)/1440)</f>
        <v/>
      </c>
      <c r="P26" s="64" t="str">
        <f ca="1">IF(P$8="","",IF(EB.Anwendung&lt;&gt;"",IF(INDEX(Oktober!Monat.ProjekteTotal.Bereich,P$8)&lt;=0,0,INDEX(Oktober!Monat.ProjekteTotal.Bereich,P$8)),""))</f>
        <v/>
      </c>
      <c r="Q26" s="379" t="str">
        <f ca="1">IF(OR(P26="",Eingabeblatt!$H22=0),"",ROUND((P26-(T.ProdStunden.Bereich/100)*P$14/12)*1440,0)/1440)</f>
        <v/>
      </c>
      <c r="R26" s="64" t="str">
        <f ca="1">IF(R$8="","",IF(EB.Anwendung&lt;&gt;"",IF(INDEX(Oktober!Monat.ProjekteTotal.Bereich,R$8)&lt;=0,0,INDEX(Oktober!Monat.ProjekteTotal.Bereich,R$8)),""))</f>
        <v/>
      </c>
      <c r="S26" s="379" t="str">
        <f ca="1">IF(OR(R26="",Eingabeblatt!$H22=0),"",ROUND((R26-(T.ProdStunden.Bereich/100)*R$14/12)*1440,0)/1440)</f>
        <v/>
      </c>
      <c r="T26" s="64" t="str">
        <f ca="1">IF(T$8="","",IF(EB.Anwendung&lt;&gt;"",IF(INDEX(Oktober!Monat.ProjekteTotal.Bereich,T$8)&lt;=0,0,INDEX(Oktober!Monat.ProjekteTotal.Bereich,T$8)),""))</f>
        <v/>
      </c>
      <c r="U26" s="379" t="str">
        <f ca="1">IF(OR(T26="",Eingabeblatt!$H22=0),"",ROUND((T26-(T.ProdStunden.Bereich/100)*T$14/12)*1440,0)/1440)</f>
        <v/>
      </c>
      <c r="V26" s="64" t="str">
        <f ca="1">IF(V$8="","",IF(EB.Anwendung&lt;&gt;"",IF(INDEX(Oktober!Monat.ProjekteTotal.Bereich,V$8)&lt;=0,0,INDEX(Oktober!Monat.ProjekteTotal.Bereich,V$8)),""))</f>
        <v/>
      </c>
      <c r="W26" s="379" t="str">
        <f ca="1">IF(OR(V26="",Eingabeblatt!$H22=0),"",ROUND((V26-(T.ProdStunden.Bereich/100)*V$14/12)*1440,0)/1440)</f>
        <v/>
      </c>
      <c r="X26" s="64" t="str">
        <f ca="1">IF(X$8="","",IF(EB.Anwendung&lt;&gt;"",IF(INDEX(Oktober!Monat.ProjekteTotal.Bereich,X$8)&lt;=0,0,INDEX(Oktober!Monat.ProjekteTotal.Bereich,X$8)),""))</f>
        <v/>
      </c>
      <c r="Y26" s="379" t="str">
        <f ca="1">IF(OR(X26="",Eingabeblatt!$H22=0),"",ROUND((X26-(T.ProdStunden.Bereich/100)*X$14/12)*1440,0)/1440)</f>
        <v/>
      </c>
      <c r="Z26" s="64" t="str">
        <f ca="1">IF(Z$8="","",IF(EB.Anwendung&lt;&gt;"",IF(INDEX(Oktober!Monat.ProjekteTotal.Bereich,Z$8)&lt;=0,0,INDEX(Oktober!Monat.ProjekteTotal.Bereich,Z$8)),""))</f>
        <v/>
      </c>
      <c r="AA26" s="379" t="str">
        <f ca="1">IF(OR(Z26="",Eingabeblatt!$H22=0),"",ROUND((Z26-(T.ProdStunden.Bereich/100)*Z$14/12)*1440,0)/1440)</f>
        <v/>
      </c>
      <c r="AB26" s="64" t="str">
        <f ca="1">IF(AB$8="","",IF(EB.Anwendung&lt;&gt;"",IF(INDEX(Oktober!Monat.ProjekteTotal.Bereich,AB$8)&lt;=0,0,INDEX(Oktober!Monat.ProjekteTotal.Bereich,AB$8)),""))</f>
        <v/>
      </c>
      <c r="AC26" s="379" t="str">
        <f ca="1">IF(OR(AB26="",Eingabeblatt!$H22=0),"",ROUND((AB26-(T.ProdStunden.Bereich/100)*AB$14/12)*1440,0)/1440)</f>
        <v/>
      </c>
      <c r="AD26" s="64" t="str">
        <f ca="1">IF(AD$8="","",IF(EB.Anwendung&lt;&gt;"",IF(INDEX(Oktober!Monat.ProjekteTotal.Bereich,AD$8)&lt;=0,0,INDEX(Oktober!Monat.ProjekteTotal.Bereich,AD$8)),""))</f>
        <v/>
      </c>
      <c r="AE26" s="379" t="str">
        <f ca="1">IF(OR(AD26="",Eingabeblatt!$H22=0),"",ROUND((AD26-(T.ProdStunden.Bereich/100)*AD$14/12)*1440,0)/1440)</f>
        <v/>
      </c>
      <c r="AF26" s="364"/>
      <c r="AG26" s="380">
        <f t="shared" ca="1" si="0"/>
        <v>0</v>
      </c>
      <c r="AH26" s="362"/>
    </row>
    <row r="27" spans="1:34" s="4" customFormat="1" ht="15" customHeight="1" x14ac:dyDescent="0.2">
      <c r="A27" s="378" t="str">
        <f>INDEX(EB.Monate.Bereich,11,0)</f>
        <v>November</v>
      </c>
      <c r="B27" s="64" t="str">
        <f ca="1">IF(B$8="","",IF(EB.Anwendung&lt;&gt;"",IF(INDEX(November!Monat.ProjekteTotal.Bereich,B$8)&lt;=0,0,INDEX(November!Monat.ProjekteTotal.Bereich,B$8)),""))</f>
        <v/>
      </c>
      <c r="C27" s="379" t="str">
        <f ca="1">IF(OR(B27="",Eingabeblatt!$H23=0),"",ROUND((B27-(T.ProdStunden.Bereich/100)*B$14/12)*1440,0)/1440)</f>
        <v/>
      </c>
      <c r="D27" s="64" t="str">
        <f ca="1">IF(D$8="","",IF(EB.Anwendung&lt;&gt;"",IF(INDEX(November!Monat.ProjekteTotal.Bereich,D$8)&lt;=0,0,INDEX(November!Monat.ProjekteTotal.Bereich,D$8)),""))</f>
        <v/>
      </c>
      <c r="E27" s="379" t="str">
        <f ca="1">IF(OR(D27="",Eingabeblatt!$H23=0),"",ROUND((D27-(T.ProdStunden.Bereich/100)*D$14/12)*1440,0)/1440)</f>
        <v/>
      </c>
      <c r="F27" s="64" t="str">
        <f ca="1">IF(F$8="","",IF(EB.Anwendung&lt;&gt;"",IF(INDEX(November!Monat.ProjekteTotal.Bereich,F$8)&lt;=0,0,INDEX(November!Monat.ProjekteTotal.Bereich,F$8)),""))</f>
        <v/>
      </c>
      <c r="G27" s="379" t="str">
        <f ca="1">IF(OR(F27="",Eingabeblatt!$H23=0),"",ROUND((F27-(T.ProdStunden.Bereich/100)*F$14/12)*1440,0)/1440)</f>
        <v/>
      </c>
      <c r="H27" s="64" t="str">
        <f ca="1">IF(H$8="","",IF(EB.Anwendung&lt;&gt;"",IF(INDEX(November!Monat.ProjekteTotal.Bereich,H$8)&lt;=0,0,INDEX(November!Monat.ProjekteTotal.Bereich,H$8)),""))</f>
        <v/>
      </c>
      <c r="I27" s="379" t="str">
        <f ca="1">IF(OR(H27="",Eingabeblatt!$H23=0),"",ROUND((H27-(T.ProdStunden.Bereich/100)*H$14/12)*1440,0)/1440)</f>
        <v/>
      </c>
      <c r="J27" s="64" t="str">
        <f ca="1">IF(J$8="","",IF(EB.Anwendung&lt;&gt;"",IF(INDEX(November!Monat.ProjekteTotal.Bereich,J$8)&lt;=0,0,INDEX(November!Monat.ProjekteTotal.Bereich,J$8)),""))</f>
        <v/>
      </c>
      <c r="K27" s="379" t="str">
        <f ca="1">IF(OR(J27="",Eingabeblatt!$H23=0),"",ROUND((J27-(T.ProdStunden.Bereich/100)*J$14/12)*1440,0)/1440)</f>
        <v/>
      </c>
      <c r="L27" s="64" t="str">
        <f ca="1">IF(L$8="","",IF(EB.Anwendung&lt;&gt;"",IF(INDEX(November!Monat.ProjekteTotal.Bereich,L$8)&lt;=0,0,INDEX(November!Monat.ProjekteTotal.Bereich,L$8)),""))</f>
        <v/>
      </c>
      <c r="M27" s="379" t="str">
        <f ca="1">IF(OR(L27="",Eingabeblatt!$H23=0),"",ROUND((L27-(T.ProdStunden.Bereich/100)*L$14/12)*1440,0)/1440)</f>
        <v/>
      </c>
      <c r="N27" s="64" t="str">
        <f ca="1">IF(N$8="","",IF(EB.Anwendung&lt;&gt;"",IF(INDEX(November!Monat.ProjekteTotal.Bereich,N$8)&lt;=0,0,INDEX(November!Monat.ProjekteTotal.Bereich,N$8)),""))</f>
        <v/>
      </c>
      <c r="O27" s="379" t="str">
        <f ca="1">IF(OR(N27="",Eingabeblatt!$H23=0),"",ROUND((N27-(T.ProdStunden.Bereich/100)*N$14/12)*1440,0)/1440)</f>
        <v/>
      </c>
      <c r="P27" s="64" t="str">
        <f ca="1">IF(P$8="","",IF(EB.Anwendung&lt;&gt;"",IF(INDEX(November!Monat.ProjekteTotal.Bereich,P$8)&lt;=0,0,INDEX(November!Monat.ProjekteTotal.Bereich,P$8)),""))</f>
        <v/>
      </c>
      <c r="Q27" s="379" t="str">
        <f ca="1">IF(OR(P27="",Eingabeblatt!$H23=0),"",ROUND((P27-(T.ProdStunden.Bereich/100)*P$14/12)*1440,0)/1440)</f>
        <v/>
      </c>
      <c r="R27" s="64" t="str">
        <f ca="1">IF(R$8="","",IF(EB.Anwendung&lt;&gt;"",IF(INDEX(November!Monat.ProjekteTotal.Bereich,R$8)&lt;=0,0,INDEX(November!Monat.ProjekteTotal.Bereich,R$8)),""))</f>
        <v/>
      </c>
      <c r="S27" s="379" t="str">
        <f ca="1">IF(OR(R27="",Eingabeblatt!$H23=0),"",ROUND((R27-(T.ProdStunden.Bereich/100)*R$14/12)*1440,0)/1440)</f>
        <v/>
      </c>
      <c r="T27" s="64" t="str">
        <f ca="1">IF(T$8="","",IF(EB.Anwendung&lt;&gt;"",IF(INDEX(November!Monat.ProjekteTotal.Bereich,T$8)&lt;=0,0,INDEX(November!Monat.ProjekteTotal.Bereich,T$8)),""))</f>
        <v/>
      </c>
      <c r="U27" s="379" t="str">
        <f ca="1">IF(OR(T27="",Eingabeblatt!$H23=0),"",ROUND((T27-(T.ProdStunden.Bereich/100)*T$14/12)*1440,0)/1440)</f>
        <v/>
      </c>
      <c r="V27" s="64" t="str">
        <f ca="1">IF(V$8="","",IF(EB.Anwendung&lt;&gt;"",IF(INDEX(November!Monat.ProjekteTotal.Bereich,V$8)&lt;=0,0,INDEX(November!Monat.ProjekteTotal.Bereich,V$8)),""))</f>
        <v/>
      </c>
      <c r="W27" s="379" t="str">
        <f ca="1">IF(OR(V27="",Eingabeblatt!$H23=0),"",ROUND((V27-(T.ProdStunden.Bereich/100)*V$14/12)*1440,0)/1440)</f>
        <v/>
      </c>
      <c r="X27" s="64" t="str">
        <f ca="1">IF(X$8="","",IF(EB.Anwendung&lt;&gt;"",IF(INDEX(November!Monat.ProjekteTotal.Bereich,X$8)&lt;=0,0,INDEX(November!Monat.ProjekteTotal.Bereich,X$8)),""))</f>
        <v/>
      </c>
      <c r="Y27" s="379" t="str">
        <f ca="1">IF(OR(X27="",Eingabeblatt!$H23=0),"",ROUND((X27-(T.ProdStunden.Bereich/100)*X$14/12)*1440,0)/1440)</f>
        <v/>
      </c>
      <c r="Z27" s="64" t="str">
        <f ca="1">IF(Z$8="","",IF(EB.Anwendung&lt;&gt;"",IF(INDEX(November!Monat.ProjekteTotal.Bereich,Z$8)&lt;=0,0,INDEX(November!Monat.ProjekteTotal.Bereich,Z$8)),""))</f>
        <v/>
      </c>
      <c r="AA27" s="379" t="str">
        <f ca="1">IF(OR(Z27="",Eingabeblatt!$H23=0),"",ROUND((Z27-(T.ProdStunden.Bereich/100)*Z$14/12)*1440,0)/1440)</f>
        <v/>
      </c>
      <c r="AB27" s="64" t="str">
        <f ca="1">IF(AB$8="","",IF(EB.Anwendung&lt;&gt;"",IF(INDEX(November!Monat.ProjekteTotal.Bereich,AB$8)&lt;=0,0,INDEX(November!Monat.ProjekteTotal.Bereich,AB$8)),""))</f>
        <v/>
      </c>
      <c r="AC27" s="379" t="str">
        <f ca="1">IF(OR(AB27="",Eingabeblatt!$H23=0),"",ROUND((AB27-(T.ProdStunden.Bereich/100)*AB$14/12)*1440,0)/1440)</f>
        <v/>
      </c>
      <c r="AD27" s="64" t="str">
        <f ca="1">IF(AD$8="","",IF(EB.Anwendung&lt;&gt;"",IF(INDEX(November!Monat.ProjekteTotal.Bereich,AD$8)&lt;=0,0,INDEX(November!Monat.ProjekteTotal.Bereich,AD$8)),""))</f>
        <v/>
      </c>
      <c r="AE27" s="379" t="str">
        <f ca="1">IF(OR(AD27="",Eingabeblatt!$H23=0),"",ROUND((AD27-(T.ProdStunden.Bereich/100)*AD$14/12)*1440,0)/1440)</f>
        <v/>
      </c>
      <c r="AF27" s="364"/>
      <c r="AG27" s="380">
        <f t="shared" ca="1" si="0"/>
        <v>0</v>
      </c>
      <c r="AH27" s="362"/>
    </row>
    <row r="28" spans="1:34" s="4" customFormat="1" ht="15" customHeight="1" x14ac:dyDescent="0.2">
      <c r="A28" s="378" t="str">
        <f>INDEX(EB.Monate.Bereich,12,0)</f>
        <v>Dezember</v>
      </c>
      <c r="B28" s="64" t="str">
        <f ca="1">IF(B$8="","",IF(EB.Anwendung&lt;&gt;"",IF(INDEX(Dezember!Monat.ProjekteTotal.Bereich,B$8)&lt;=0,0,INDEX(Dezember!Monat.ProjekteTotal.Bereich,B$8)),""))</f>
        <v/>
      </c>
      <c r="C28" s="379" t="str">
        <f ca="1">IF(OR(B28="",Eingabeblatt!$H24=0),"",ROUND((B28-(T.ProdStunden.Bereich/100)*B$14/12)*1440,0)/1440)</f>
        <v/>
      </c>
      <c r="D28" s="64" t="str">
        <f ca="1">IF(D$8="","",IF(EB.Anwendung&lt;&gt;"",IF(INDEX(Dezember!Monat.ProjekteTotal.Bereich,D$8)&lt;=0,0,INDEX(Dezember!Monat.ProjekteTotal.Bereich,D$8)),""))</f>
        <v/>
      </c>
      <c r="E28" s="379" t="str">
        <f ca="1">IF(OR(D28="",Eingabeblatt!$H24=0),"",ROUND((D28-(T.ProdStunden.Bereich/100)*D$14/12)*1440,0)/1440)</f>
        <v/>
      </c>
      <c r="F28" s="64" t="str">
        <f ca="1">IF(F$8="","",IF(EB.Anwendung&lt;&gt;"",IF(INDEX(Dezember!Monat.ProjekteTotal.Bereich,F$8)&lt;=0,0,INDEX(Dezember!Monat.ProjekteTotal.Bereich,F$8)),""))</f>
        <v/>
      </c>
      <c r="G28" s="379" t="str">
        <f ca="1">IF(OR(F28="",Eingabeblatt!$H24=0),"",ROUND((F28-(T.ProdStunden.Bereich/100)*F$14/12)*1440,0)/1440)</f>
        <v/>
      </c>
      <c r="H28" s="64" t="str">
        <f ca="1">IF(H$8="","",IF(EB.Anwendung&lt;&gt;"",IF(INDEX(Dezember!Monat.ProjekteTotal.Bereich,H$8)&lt;=0,0,INDEX(Dezember!Monat.ProjekteTotal.Bereich,H$8)),""))</f>
        <v/>
      </c>
      <c r="I28" s="379" t="str">
        <f ca="1">IF(OR(H28="",Eingabeblatt!$H24=0),"",ROUND((H28-(T.ProdStunden.Bereich/100)*H$14/12)*1440,0)/1440)</f>
        <v/>
      </c>
      <c r="J28" s="64" t="str">
        <f ca="1">IF(J$8="","",IF(EB.Anwendung&lt;&gt;"",IF(INDEX(Dezember!Monat.ProjekteTotal.Bereich,J$8)&lt;=0,0,INDEX(Dezember!Monat.ProjekteTotal.Bereich,J$8)),""))</f>
        <v/>
      </c>
      <c r="K28" s="379" t="str">
        <f ca="1">IF(OR(J28="",Eingabeblatt!$H24=0),"",ROUND((J28-(T.ProdStunden.Bereich/100)*J$14/12)*1440,0)/1440)</f>
        <v/>
      </c>
      <c r="L28" s="64" t="str">
        <f ca="1">IF(L$8="","",IF(EB.Anwendung&lt;&gt;"",IF(INDEX(Dezember!Monat.ProjekteTotal.Bereich,L$8)&lt;=0,0,INDEX(Dezember!Monat.ProjekteTotal.Bereich,L$8)),""))</f>
        <v/>
      </c>
      <c r="M28" s="379" t="str">
        <f ca="1">IF(OR(L28="",Eingabeblatt!$H24=0),"",ROUND((L28-(T.ProdStunden.Bereich/100)*L$14/12)*1440,0)/1440)</f>
        <v/>
      </c>
      <c r="N28" s="64" t="str">
        <f ca="1">IF(N$8="","",IF(EB.Anwendung&lt;&gt;"",IF(INDEX(Dezember!Monat.ProjekteTotal.Bereich,N$8)&lt;=0,0,INDEX(Dezember!Monat.ProjekteTotal.Bereich,N$8)),""))</f>
        <v/>
      </c>
      <c r="O28" s="379" t="str">
        <f ca="1">IF(OR(N28="",Eingabeblatt!$H24=0),"",ROUND((N28-(T.ProdStunden.Bereich/100)*N$14/12)*1440,0)/1440)</f>
        <v/>
      </c>
      <c r="P28" s="64" t="str">
        <f ca="1">IF(P$8="","",IF(EB.Anwendung&lt;&gt;"",IF(INDEX(Dezember!Monat.ProjekteTotal.Bereich,P$8)&lt;=0,0,INDEX(Dezember!Monat.ProjekteTotal.Bereich,P$8)),""))</f>
        <v/>
      </c>
      <c r="Q28" s="379" t="str">
        <f ca="1">IF(OR(P28="",Eingabeblatt!$H24=0),"",ROUND((P28-(T.ProdStunden.Bereich/100)*P$14/12)*1440,0)/1440)</f>
        <v/>
      </c>
      <c r="R28" s="64" t="str">
        <f ca="1">IF(R$8="","",IF(EB.Anwendung&lt;&gt;"",IF(INDEX(Dezember!Monat.ProjekteTotal.Bereich,R$8)&lt;=0,0,INDEX(Dezember!Monat.ProjekteTotal.Bereich,R$8)),""))</f>
        <v/>
      </c>
      <c r="S28" s="379" t="str">
        <f ca="1">IF(OR(R28="",Eingabeblatt!$H24=0),"",ROUND((R28-(T.ProdStunden.Bereich/100)*R$14/12)*1440,0)/1440)</f>
        <v/>
      </c>
      <c r="T28" s="64" t="str">
        <f ca="1">IF(T$8="","",IF(EB.Anwendung&lt;&gt;"",IF(INDEX(Dezember!Monat.ProjekteTotal.Bereich,T$8)&lt;=0,0,INDEX(Dezember!Monat.ProjekteTotal.Bereich,T$8)),""))</f>
        <v/>
      </c>
      <c r="U28" s="379" t="str">
        <f ca="1">IF(OR(T28="",Eingabeblatt!$H24=0),"",ROUND((T28-(T.ProdStunden.Bereich/100)*T$14/12)*1440,0)/1440)</f>
        <v/>
      </c>
      <c r="V28" s="64" t="str">
        <f ca="1">IF(V$8="","",IF(EB.Anwendung&lt;&gt;"",IF(INDEX(Dezember!Monat.ProjekteTotal.Bereich,V$8)&lt;=0,0,INDEX(Dezember!Monat.ProjekteTotal.Bereich,V$8)),""))</f>
        <v/>
      </c>
      <c r="W28" s="379" t="str">
        <f ca="1">IF(OR(V28="",Eingabeblatt!$H24=0),"",ROUND((V28-(T.ProdStunden.Bereich/100)*V$14/12)*1440,0)/1440)</f>
        <v/>
      </c>
      <c r="X28" s="64" t="str">
        <f ca="1">IF(X$8="","",IF(EB.Anwendung&lt;&gt;"",IF(INDEX(Dezember!Monat.ProjekteTotal.Bereich,X$8)&lt;=0,0,INDEX(Dezember!Monat.ProjekteTotal.Bereich,X$8)),""))</f>
        <v/>
      </c>
      <c r="Y28" s="379" t="str">
        <f ca="1">IF(OR(X28="",Eingabeblatt!$H24=0),"",ROUND((X28-(T.ProdStunden.Bereich/100)*X$14/12)*1440,0)/1440)</f>
        <v/>
      </c>
      <c r="Z28" s="64" t="str">
        <f ca="1">IF(Z$8="","",IF(EB.Anwendung&lt;&gt;"",IF(INDEX(Dezember!Monat.ProjekteTotal.Bereich,Z$8)&lt;=0,0,INDEX(Dezember!Monat.ProjekteTotal.Bereich,Z$8)),""))</f>
        <v/>
      </c>
      <c r="AA28" s="379" t="str">
        <f ca="1">IF(OR(Z28="",Eingabeblatt!$H24=0),"",ROUND((Z28-(T.ProdStunden.Bereich/100)*Z$14/12)*1440,0)/1440)</f>
        <v/>
      </c>
      <c r="AB28" s="64" t="str">
        <f ca="1">IF(AB$8="","",IF(EB.Anwendung&lt;&gt;"",IF(INDEX(Dezember!Monat.ProjekteTotal.Bereich,AB$8)&lt;=0,0,INDEX(Dezember!Monat.ProjekteTotal.Bereich,AB$8)),""))</f>
        <v/>
      </c>
      <c r="AC28" s="379" t="str">
        <f ca="1">IF(OR(AB28="",Eingabeblatt!$H24=0),"",ROUND((AB28-(T.ProdStunden.Bereich/100)*AB$14/12)*1440,0)/1440)</f>
        <v/>
      </c>
      <c r="AD28" s="64" t="str">
        <f ca="1">IF(AD$8="","",IF(EB.Anwendung&lt;&gt;"",IF(INDEX(Dezember!Monat.ProjekteTotal.Bereich,AD$8)&lt;=0,0,INDEX(Dezember!Monat.ProjekteTotal.Bereich,AD$8)),""))</f>
        <v/>
      </c>
      <c r="AE28" s="379" t="str">
        <f ca="1">IF(OR(AD28="",Eingabeblatt!$H24=0),"",ROUND((AD28-(T.ProdStunden.Bereich/100)*AD$14/12)*1440,0)/1440)</f>
        <v/>
      </c>
      <c r="AF28" s="364"/>
      <c r="AG28" s="380">
        <f t="shared" ca="1" si="0"/>
        <v>0</v>
      </c>
      <c r="AH28" s="362"/>
    </row>
    <row r="29" spans="1:34" s="4" customFormat="1" ht="11.25" customHeight="1" x14ac:dyDescent="0.2">
      <c r="A29" s="381"/>
      <c r="B29" s="376"/>
      <c r="C29" s="376"/>
      <c r="D29" s="364"/>
      <c r="E29" s="376"/>
      <c r="F29" s="364"/>
      <c r="G29" s="376"/>
      <c r="H29" s="364"/>
      <c r="I29" s="376"/>
      <c r="J29" s="364"/>
      <c r="K29" s="376"/>
      <c r="L29" s="364"/>
      <c r="M29" s="376"/>
      <c r="N29" s="364"/>
      <c r="O29" s="376"/>
      <c r="P29" s="364"/>
      <c r="Q29" s="376"/>
      <c r="R29" s="364"/>
      <c r="S29" s="376"/>
      <c r="T29" s="364"/>
      <c r="U29" s="376"/>
      <c r="V29" s="364"/>
      <c r="W29" s="376"/>
      <c r="X29" s="364"/>
      <c r="Y29" s="376"/>
      <c r="Z29" s="364"/>
      <c r="AA29" s="376"/>
      <c r="AB29" s="364"/>
      <c r="AC29" s="376"/>
      <c r="AD29" s="364"/>
      <c r="AE29" s="364"/>
      <c r="AF29" s="364"/>
      <c r="AG29" s="364"/>
      <c r="AH29" s="364"/>
    </row>
    <row r="30" spans="1:34" s="4" customFormat="1" ht="15" customHeight="1" x14ac:dyDescent="0.2">
      <c r="A30" s="382" t="s">
        <v>83</v>
      </c>
      <c r="B30" s="64">
        <f ca="1">SUM(B17:B28)</f>
        <v>0</v>
      </c>
      <c r="C30" s="383"/>
      <c r="D30" s="64">
        <f ca="1">SUM(D17:D28)</f>
        <v>0</v>
      </c>
      <c r="E30" s="383"/>
      <c r="F30" s="64">
        <f ca="1">SUM(F17:F28)</f>
        <v>0</v>
      </c>
      <c r="G30" s="383"/>
      <c r="H30" s="64">
        <f t="shared" ref="H30:T30" ca="1" si="1">SUM(H17:H28)</f>
        <v>0</v>
      </c>
      <c r="I30" s="383"/>
      <c r="J30" s="64">
        <f t="shared" ca="1" si="1"/>
        <v>0</v>
      </c>
      <c r="K30" s="383"/>
      <c r="L30" s="64">
        <f t="shared" ca="1" si="1"/>
        <v>0</v>
      </c>
      <c r="M30" s="383"/>
      <c r="N30" s="64">
        <f t="shared" ca="1" si="1"/>
        <v>0</v>
      </c>
      <c r="O30" s="383"/>
      <c r="P30" s="64">
        <f t="shared" ca="1" si="1"/>
        <v>0</v>
      </c>
      <c r="Q30" s="383"/>
      <c r="R30" s="64">
        <f t="shared" ca="1" si="1"/>
        <v>0</v>
      </c>
      <c r="S30" s="383"/>
      <c r="T30" s="64">
        <f t="shared" ca="1" si="1"/>
        <v>0</v>
      </c>
      <c r="U30" s="383"/>
      <c r="V30" s="64">
        <f ca="1">SUM(V17:V28)</f>
        <v>0</v>
      </c>
      <c r="W30" s="383"/>
      <c r="X30" s="64">
        <f ca="1">SUM(X17:X28)</f>
        <v>0</v>
      </c>
      <c r="Y30" s="383"/>
      <c r="Z30" s="64">
        <f ca="1">SUM(Z17:Z28)</f>
        <v>0</v>
      </c>
      <c r="AA30" s="383"/>
      <c r="AB30" s="64">
        <f ca="1">SUM(AB17:AB28)</f>
        <v>0</v>
      </c>
      <c r="AC30" s="383"/>
      <c r="AD30" s="64">
        <f ca="1">SUM(AD17:AD28)</f>
        <v>0</v>
      </c>
      <c r="AE30" s="384"/>
      <c r="AF30" s="364"/>
      <c r="AG30" s="385">
        <f ca="1">SUM(B30,D30,F30,H30,J30,L30,N30,P30,R30,T30,V30,X30,Z30,AB30,AD30)</f>
        <v>0</v>
      </c>
      <c r="AH30" s="362"/>
    </row>
    <row r="31" spans="1:34" s="4" customFormat="1" ht="15" customHeight="1" x14ac:dyDescent="0.2">
      <c r="A31" s="382" t="s">
        <v>185</v>
      </c>
      <c r="B31" s="64">
        <f ca="1">ROUND(((T.ProdStunden.Bereich/100)*IFERROR(INDEX(EB.Projekte.ganzerBereich,B$8,6),0))/12*COUNTIF(B17:B28,"&gt;0")*1440,0)/1440</f>
        <v>0</v>
      </c>
      <c r="C31" s="383"/>
      <c r="D31" s="64">
        <f ca="1">ROUND(((T.ProdStunden.Bereich/100)*IFERROR(INDEX(EB.Projekte.ganzerBereich,D$8,6),0))/12*COUNTIF(D17:D28,"&gt;0")*1440,0)/1440</f>
        <v>0</v>
      </c>
      <c r="E31" s="383"/>
      <c r="F31" s="64">
        <f ca="1">ROUND(((T.ProdStunden.Bereich/100)*IFERROR(INDEX(EB.Projekte.ganzerBereich,F$8,6),0))/12*COUNTIF(F17:F28,"&gt;0")*1440,0)/1440</f>
        <v>0</v>
      </c>
      <c r="G31" s="383"/>
      <c r="H31" s="64">
        <f ca="1">ROUND(((T.ProdStunden.Bereich/100)*IFERROR(INDEX(EB.Projekte.ganzerBereich,H$8,6),0))/12*COUNTIF(H17:H28,"&gt;0")*1440,0)/1440</f>
        <v>0</v>
      </c>
      <c r="I31" s="383"/>
      <c r="J31" s="64">
        <f ca="1">ROUND(((T.ProdStunden.Bereich/100)*IFERROR(INDEX(EB.Projekte.ganzerBereich,J$8,6),0))/12*COUNTIF(J17:J28,"&gt;0")*1440,0)/1440</f>
        <v>0</v>
      </c>
      <c r="K31" s="383"/>
      <c r="L31" s="64">
        <f ca="1">ROUND(((T.ProdStunden.Bereich/100)*IFERROR(INDEX(EB.Projekte.ganzerBereich,L$8,6),0))/12*COUNTIF(L17:L28,"&gt;0")*1440,0)/1440</f>
        <v>0</v>
      </c>
      <c r="M31" s="383"/>
      <c r="N31" s="64">
        <f ca="1">ROUND(((T.ProdStunden.Bereich/100)*IFERROR(INDEX(EB.Projekte.ganzerBereich,N$8,6),0))/12*COUNTIF(N17:N28,"&gt;0")*1440,0)/1440</f>
        <v>0</v>
      </c>
      <c r="O31" s="383"/>
      <c r="P31" s="64">
        <f ca="1">ROUND(((T.ProdStunden.Bereich/100)*IFERROR(INDEX(EB.Projekte.ganzerBereich,P$8,6),0))/12*COUNTIF(P17:P28,"&gt;0")*1440,0)/1440</f>
        <v>0</v>
      </c>
      <c r="Q31" s="383"/>
      <c r="R31" s="64">
        <f ca="1">ROUND(((T.ProdStunden.Bereich/100)*IFERROR(INDEX(EB.Projekte.ganzerBereich,R$8,6),0))/12*COUNTIF(R17:R28,"&gt;0")*1440,0)/1440</f>
        <v>0</v>
      </c>
      <c r="S31" s="383"/>
      <c r="T31" s="64">
        <f ca="1">ROUND(((T.ProdStunden.Bereich/100)*IFERROR(INDEX(EB.Projekte.ganzerBereich,T$8,6),0))/12*COUNTIF(T17:T28,"&gt;0")*1440,0)/1440</f>
        <v>0</v>
      </c>
      <c r="U31" s="383"/>
      <c r="V31" s="64">
        <f ca="1">ROUND(((T.ProdStunden.Bereich/100)*IFERROR(INDEX(EB.Projekte.ganzerBereich,V$8,6),0))/12*COUNTIF(V17:V28,"&gt;0")*1440,0)/1440</f>
        <v>0</v>
      </c>
      <c r="W31" s="383"/>
      <c r="X31" s="64">
        <f ca="1">ROUND(((T.ProdStunden.Bereich/100)*IFERROR(INDEX(EB.Projekte.ganzerBereich,X$8,6),0))/12*COUNTIF(X17:X28,"&gt;0")*1440,0)/1440</f>
        <v>0</v>
      </c>
      <c r="Y31" s="383"/>
      <c r="Z31" s="64">
        <f ca="1">ROUND(((T.ProdStunden.Bereich/100)*IFERROR(INDEX(EB.Projekte.ganzerBereich,Z$8,6),0))/12*COUNTIF(Z17:Z28,"&gt;0")*1440,0)/1440</f>
        <v>0</v>
      </c>
      <c r="AA31" s="383"/>
      <c r="AB31" s="64">
        <f ca="1">ROUND(((T.ProdStunden.Bereich/100)*IFERROR(INDEX(EB.Projekte.ganzerBereich,AB$8,6),0))/12*COUNTIF(AB17:AB28,"&gt;0")*1440,0)/1440</f>
        <v>0</v>
      </c>
      <c r="AC31" s="383"/>
      <c r="AD31" s="64">
        <f ca="1">ROUND(((T.ProdStunden.Bereich/100)*IFERROR(INDEX(EB.Projekte.ganzerBereich,AD$8,6),0))/12*COUNTIF(AD17:AD28,"&gt;0")*1440,0)/1440</f>
        <v>0</v>
      </c>
      <c r="AE31" s="384"/>
      <c r="AF31" s="364"/>
      <c r="AG31" s="385">
        <f ca="1">SUM(B31,D31,F31,H31,J31,L31,N31,P31,R31,T31,V31,X31,Z31,AB31,AD31)</f>
        <v>0</v>
      </c>
      <c r="AH31" s="362"/>
    </row>
    <row r="32" spans="1:34" s="4" customFormat="1" ht="15" customHeight="1" x14ac:dyDescent="0.2">
      <c r="A32" s="382" t="s">
        <v>234</v>
      </c>
      <c r="B32" s="65">
        <f ca="1">B30-B31</f>
        <v>0</v>
      </c>
      <c r="C32" s="383"/>
      <c r="D32" s="65">
        <f ca="1">D30-D31</f>
        <v>0</v>
      </c>
      <c r="E32" s="383"/>
      <c r="F32" s="65">
        <f ca="1">F30-F31</f>
        <v>0</v>
      </c>
      <c r="G32" s="383"/>
      <c r="H32" s="65">
        <f ca="1">H30-H31</f>
        <v>0</v>
      </c>
      <c r="I32" s="383"/>
      <c r="J32" s="65">
        <f ca="1">J30-J31</f>
        <v>0</v>
      </c>
      <c r="K32" s="383"/>
      <c r="L32" s="65">
        <f ca="1">L30-L31</f>
        <v>0</v>
      </c>
      <c r="M32" s="383"/>
      <c r="N32" s="65">
        <f ca="1">N30-N31</f>
        <v>0</v>
      </c>
      <c r="O32" s="383"/>
      <c r="P32" s="65">
        <f ca="1">P30-P31</f>
        <v>0</v>
      </c>
      <c r="Q32" s="383"/>
      <c r="R32" s="65">
        <f ca="1">R30-R31</f>
        <v>0</v>
      </c>
      <c r="S32" s="383"/>
      <c r="T32" s="65">
        <f ca="1">T30-T31</f>
        <v>0</v>
      </c>
      <c r="U32" s="383"/>
      <c r="V32" s="65">
        <f ca="1">V30-V31</f>
        <v>0</v>
      </c>
      <c r="W32" s="383"/>
      <c r="X32" s="65">
        <f ca="1">X30-X31</f>
        <v>0</v>
      </c>
      <c r="Y32" s="383"/>
      <c r="Z32" s="65">
        <f ca="1">Z30-Z31</f>
        <v>0</v>
      </c>
      <c r="AA32" s="383"/>
      <c r="AB32" s="65">
        <f ca="1">AB30-AB31</f>
        <v>0</v>
      </c>
      <c r="AC32" s="383"/>
      <c r="AD32" s="65">
        <f ca="1">AD30-AD31</f>
        <v>0</v>
      </c>
      <c r="AE32" s="384"/>
      <c r="AF32" s="364"/>
      <c r="AG32" s="386">
        <f ca="1">SUM(B32,D32,F32,H32,J32,L32,N32,P32,R32,T32,V32,X32,Z32,AB32,AD32)</f>
        <v>0</v>
      </c>
      <c r="AH32" s="362"/>
    </row>
    <row r="33" spans="1:37" s="4" customFormat="1" ht="11.25" customHeight="1" x14ac:dyDescent="0.2">
      <c r="A33" s="381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64"/>
      <c r="AF33" s="364"/>
      <c r="AG33" s="364"/>
      <c r="AH33" s="364"/>
    </row>
    <row r="34" spans="1:37" s="4" customFormat="1" ht="15" customHeight="1" x14ac:dyDescent="0.2">
      <c r="A34" s="387" t="s">
        <v>84</v>
      </c>
      <c r="B34" s="388">
        <f ca="1">SUM(B17:B28)</f>
        <v>0</v>
      </c>
      <c r="C34" s="389"/>
      <c r="D34" s="388">
        <f ca="1">SUM(D17:D28)</f>
        <v>0</v>
      </c>
      <c r="E34" s="389"/>
      <c r="F34" s="388">
        <f ca="1">SUM(F17:F28)</f>
        <v>0</v>
      </c>
      <c r="G34" s="389"/>
      <c r="H34" s="388">
        <f ca="1">SUM(H17:H28)</f>
        <v>0</v>
      </c>
      <c r="I34" s="389"/>
      <c r="J34" s="388">
        <f ca="1">SUM(J17:J28)</f>
        <v>0</v>
      </c>
      <c r="K34" s="389"/>
      <c r="L34" s="388">
        <f ca="1">SUM(L17:L28)</f>
        <v>0</v>
      </c>
      <c r="M34" s="389"/>
      <c r="N34" s="388">
        <f ca="1">SUM(N17:N28)</f>
        <v>0</v>
      </c>
      <c r="O34" s="389"/>
      <c r="P34" s="388">
        <f ca="1">SUM(P17:P28)</f>
        <v>0</v>
      </c>
      <c r="Q34" s="389"/>
      <c r="R34" s="388">
        <f ca="1">SUM(R17:R28)</f>
        <v>0</v>
      </c>
      <c r="S34" s="389"/>
      <c r="T34" s="388">
        <f ca="1">SUM(T17:T28)</f>
        <v>0</v>
      </c>
      <c r="U34" s="390"/>
      <c r="V34" s="388">
        <f ca="1">SUM(V17:V28)</f>
        <v>0</v>
      </c>
      <c r="W34" s="390"/>
      <c r="X34" s="388">
        <f ca="1">SUM(X17:X28)</f>
        <v>0</v>
      </c>
      <c r="Y34" s="390"/>
      <c r="Z34" s="388">
        <f ca="1">SUM(Z17:Z28)</f>
        <v>0</v>
      </c>
      <c r="AA34" s="390"/>
      <c r="AB34" s="388">
        <f ca="1">SUM(AB17:AB28)</f>
        <v>0</v>
      </c>
      <c r="AC34" s="390"/>
      <c r="AD34" s="388">
        <f ca="1">SUM(AD17:AD28)</f>
        <v>0</v>
      </c>
      <c r="AE34" s="384"/>
      <c r="AF34" s="364"/>
      <c r="AG34" s="385">
        <f ca="1">SUM(B34,D34,F34,H34,J34,L34,N34,P34,R34,T34,V34,X34,Z34,AB34,AD34)</f>
        <v>0</v>
      </c>
      <c r="AH34" s="362"/>
    </row>
    <row r="35" spans="1:37" s="4" customFormat="1" ht="11.25" customHeight="1" x14ac:dyDescent="0.2">
      <c r="A35" s="391"/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3"/>
      <c r="AG35" s="392"/>
      <c r="AH35" s="362"/>
    </row>
    <row r="36" spans="1:37" ht="57" customHeight="1" x14ac:dyDescent="0.2">
      <c r="A36" s="394" t="s">
        <v>62</v>
      </c>
      <c r="B36" s="515"/>
      <c r="C36" s="522"/>
      <c r="D36" s="522"/>
      <c r="E36" s="522"/>
      <c r="F36" s="522"/>
      <c r="G36" s="522"/>
      <c r="H36" s="392"/>
      <c r="I36" s="392"/>
      <c r="J36" s="394" t="s">
        <v>63</v>
      </c>
      <c r="K36" s="515"/>
      <c r="L36" s="515"/>
      <c r="M36" s="515"/>
      <c r="N36" s="515"/>
      <c r="O36" s="394"/>
      <c r="P36" s="394"/>
      <c r="Q36" s="394"/>
      <c r="R36" s="394"/>
      <c r="S36" s="394"/>
      <c r="T36" s="394"/>
      <c r="U36" s="394"/>
      <c r="V36" s="394"/>
      <c r="W36" s="392"/>
      <c r="X36" s="392"/>
      <c r="Y36" s="392"/>
      <c r="Z36" s="392"/>
      <c r="AA36" s="392"/>
      <c r="AB36" s="392"/>
      <c r="AC36" s="392"/>
      <c r="AD36" s="392"/>
      <c r="AE36" s="362"/>
      <c r="AF36" s="364"/>
      <c r="AG36" s="362"/>
      <c r="AH36" s="362"/>
      <c r="AI36" s="4"/>
      <c r="AJ36" s="4"/>
      <c r="AK36" s="4"/>
    </row>
    <row r="37" spans="1:37" ht="11.25" customHeight="1" x14ac:dyDescent="0.2">
      <c r="A37" s="392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62"/>
      <c r="AF37" s="364"/>
      <c r="AG37" s="362"/>
      <c r="AH37" s="362"/>
      <c r="AI37" s="4"/>
      <c r="AJ37" s="4"/>
      <c r="AK37" s="4"/>
    </row>
    <row r="38" spans="1:37" ht="11.25" customHeight="1" x14ac:dyDescent="0.2">
      <c r="A38" s="391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3"/>
      <c r="AG38" s="392"/>
      <c r="AH38" s="362"/>
      <c r="AI38" s="4"/>
      <c r="AJ38" s="4"/>
      <c r="AK38" s="4"/>
    </row>
    <row r="39" spans="1:37" x14ac:dyDescent="0.2">
      <c r="AH39" s="4"/>
      <c r="AI39" s="4"/>
      <c r="AJ39" s="4"/>
      <c r="AK39" s="4"/>
    </row>
    <row r="41" spans="1:37" x14ac:dyDescent="0.2">
      <c r="B41" s="7"/>
    </row>
    <row r="60" spans="25:25" ht="14.25" customHeight="1" x14ac:dyDescent="0.2">
      <c r="Y60" s="2"/>
    </row>
  </sheetData>
  <sheetProtection sheet="1" objects="1" scenarios="1"/>
  <mergeCells count="16">
    <mergeCell ref="E1:K1"/>
    <mergeCell ref="K36:N36"/>
    <mergeCell ref="B7:D7"/>
    <mergeCell ref="B2:D2"/>
    <mergeCell ref="B3:D3"/>
    <mergeCell ref="B4:D4"/>
    <mergeCell ref="B5:D5"/>
    <mergeCell ref="B6:D6"/>
    <mergeCell ref="L2:M2"/>
    <mergeCell ref="B36:G36"/>
    <mergeCell ref="E2:J2"/>
    <mergeCell ref="E3:J3"/>
    <mergeCell ref="E4:J4"/>
    <mergeCell ref="E5:J5"/>
    <mergeCell ref="E6:J6"/>
    <mergeCell ref="E7:J7"/>
  </mergeCells>
  <phoneticPr fontId="5" type="noConversion"/>
  <conditionalFormatting sqref="B32 F32 H32 J32 L32 N32 P32 R32 T32 V32 X32 Z32 AB32 AD32 D32 AG32">
    <cfRule type="expression" dxfId="5" priority="439" stopIfTrue="1">
      <formula>B$32&lt;0</formula>
    </cfRule>
  </conditionalFormatting>
  <conditionalFormatting sqref="C17:C28 AE17:AE28 AC17:AC28 AA17:AA28 Y17:Y28 W17:W28 U17:U28 S17:S28 E17:E28 G17:G28 I17:I28 K17:K28 M17:M28 O17:O28 Q17:Q28">
    <cfRule type="expression" dxfId="4" priority="298">
      <formula>C17&lt;0</formula>
    </cfRule>
  </conditionalFormatting>
  <conditionalFormatting sqref="B9:B34 D9:D34 F9:F34 H9:H34 J9:J34 L9:L34 N9:N34 P9:P34 R9:R34 T9:T34 V9:V34 X9:X34 Z9:Z34 AB9:AB34 AD9:AD34">
    <cfRule type="expression" dxfId="3" priority="5">
      <formula>B$8=""</formula>
    </cfRule>
  </conditionalFormatting>
  <conditionalFormatting sqref="C9:C34 S9:S34 U9:U34 W9:W34 Y9:Y34 AA9:AA34 AC9:AC34 AE9:AE34 E9:E34 G9:G34 I9:I34 K9:K34 M9:M34 O9:O34 Q9:Q34">
    <cfRule type="expression" dxfId="2" priority="7">
      <formula>B$8=""</formula>
    </cfRule>
  </conditionalFormatting>
  <conditionalFormatting sqref="A11:A15 A17:A28 A30:A32 A34">
    <cfRule type="expression" dxfId="1" priority="3">
      <formula>$B$8=""</formula>
    </cfRule>
  </conditionalFormatting>
  <conditionalFormatting sqref="D9 D17:D28 F9 F17:F28 H9 H17:H28 J9 J17:J28 L9 L17:L28 N9 N17:N28 P9 P17:P28 R9 R17:R28 T9 T17:T28 V9 V17:V28 X9 X17:X28 Z9 Z17:Z28 AB9 AB17:AB28 AD9 AD17:AD28">
    <cfRule type="expression" dxfId="0" priority="4">
      <formula>AND(B$8&lt;&gt;"",D$8="")</formula>
    </cfRule>
  </conditionalFormatting>
  <pageMargins left="0.19685039370078741" right="0.19685039370078741" top="0.39370078740157483" bottom="0.39370078740157483" header="0.31496062992125984" footer="0.19685039370078741"/>
  <pageSetup paperSize="9" scale="69" orientation="landscape" blackAndWhite="1" horizontalDpi="4294967292" r:id="rId1"/>
  <headerFooter>
    <oddFooter>&amp;L&amp;"Arial,Standard"&amp;11&amp;A&amp;R&amp;"Arial,Standard"&amp;11&amp;P / &amp;N</oddFooter>
  </headerFooter>
  <ignoredErrors>
    <ignoredError sqref="E9:AC14 AD9:AD14 E16:AC16 AD1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">
    <pageSetUpPr fitToPage="1"/>
  </sheetPr>
  <dimension ref="A1:AJ25"/>
  <sheetViews>
    <sheetView showGridLines="0" workbookViewId="0">
      <selection activeCell="A2" sqref="A2"/>
    </sheetView>
  </sheetViews>
  <sheetFormatPr baseColWidth="10" defaultColWidth="11" defaultRowHeight="12.75" x14ac:dyDescent="0.2"/>
  <cols>
    <col min="1" max="1" width="37.5" style="9" bestFit="1" customWidth="1"/>
    <col min="2" max="2" width="1.625" style="9" bestFit="1" customWidth="1"/>
    <col min="3" max="3" width="35.125" style="9" bestFit="1" customWidth="1"/>
    <col min="4" max="4" width="1.625" style="9" bestFit="1" customWidth="1"/>
    <col min="5" max="5" width="2.625" style="9" bestFit="1" customWidth="1"/>
    <col min="6" max="6" width="1.625" style="9" bestFit="1" customWidth="1"/>
    <col min="7" max="7" width="23.5" style="9" bestFit="1" customWidth="1"/>
    <col min="8" max="8" width="1.625" style="9" bestFit="1" customWidth="1"/>
    <col min="9" max="9" width="10.375" style="9" bestFit="1" customWidth="1"/>
    <col min="10" max="10" width="6.125" style="9" customWidth="1"/>
    <col min="11" max="11" width="2.375" style="9" bestFit="1" customWidth="1"/>
    <col min="12" max="12" width="2.625" style="9" bestFit="1" customWidth="1"/>
    <col min="13" max="13" width="2.375" style="9" bestFit="1" customWidth="1"/>
    <col min="14" max="14" width="16.25" style="9" bestFit="1" customWidth="1"/>
    <col min="15" max="15" width="4.25" style="9" bestFit="1" customWidth="1"/>
    <col min="16" max="16" width="4.75" style="9" customWidth="1"/>
    <col min="17" max="17" width="2.375" style="9" customWidth="1"/>
    <col min="18" max="18" width="23.5" style="9" bestFit="1" customWidth="1"/>
    <col min="19" max="19" width="2.375" style="9" customWidth="1"/>
    <col min="20" max="20" width="4.25" style="9" bestFit="1" customWidth="1"/>
    <col min="21" max="21" width="1.625" style="9" bestFit="1" customWidth="1"/>
    <col min="22" max="22" width="5.75" bestFit="1" customWidth="1"/>
    <col min="23" max="23" width="1.625" bestFit="1" customWidth="1"/>
    <col min="24" max="24" width="18.875" bestFit="1" customWidth="1"/>
    <col min="25" max="25" width="5.75" bestFit="1" customWidth="1"/>
    <col min="26" max="26" width="1.625" customWidth="1"/>
    <col min="27" max="27" width="20.75" bestFit="1" customWidth="1"/>
    <col min="28" max="28" width="5.125" bestFit="1" customWidth="1"/>
    <col min="29" max="29" width="3.5" style="97" bestFit="1" customWidth="1"/>
    <col min="30" max="30" width="1.625" customWidth="1"/>
    <col min="31" max="31" width="5.75" style="9" customWidth="1"/>
    <col min="32" max="32" width="1.625" style="9" bestFit="1" customWidth="1"/>
    <col min="33" max="33" width="4.875" style="9" customWidth="1"/>
    <col min="34" max="34" width="1.625" style="9" bestFit="1" customWidth="1"/>
    <col min="37" max="16384" width="11" style="9"/>
  </cols>
  <sheetData>
    <row r="1" spans="1:34" s="67" customFormat="1" ht="35.25" customHeight="1" x14ac:dyDescent="0.2">
      <c r="A1" s="535" t="s">
        <v>97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V1" s="68"/>
      <c r="W1" s="68"/>
      <c r="X1" s="68"/>
      <c r="Y1" s="68"/>
      <c r="Z1" s="68"/>
      <c r="AA1" s="68"/>
      <c r="AB1" s="68"/>
      <c r="AC1" s="96"/>
      <c r="AD1" s="68"/>
    </row>
    <row r="2" spans="1:34" ht="74.25" x14ac:dyDescent="0.2">
      <c r="A2" s="396" t="s">
        <v>74</v>
      </c>
      <c r="B2" s="395">
        <f ca="1">COUNTIF((OFFSET(T.AnzFakultaet,1,-1,ROWS($A:$A)-ROW(T.AnzFakultaet),1)),"&lt;&gt;")</f>
        <v>8</v>
      </c>
      <c r="C2" s="396" t="s">
        <v>75</v>
      </c>
      <c r="D2" s="395">
        <f ca="1">COUNTIF((OFFSET(T.AnzPersonalkategorie,1,-1,ROWS($A:$A)-ROW(T.AnzPersonalkategorie),1)),"&lt;&gt;")</f>
        <v>6</v>
      </c>
      <c r="E2" s="396" t="s">
        <v>25</v>
      </c>
      <c r="F2" s="395">
        <f ca="1">COUNTIF((OFFSET(T.AnzProjektart,1,-1,ROWS($A:$A)-ROW(T.AnzProjektart),1)),"&lt;&gt;")</f>
        <v>7</v>
      </c>
      <c r="G2" s="396" t="s">
        <v>139</v>
      </c>
      <c r="H2" s="395">
        <f ca="1">COUNTIF((OFFSET(T.AnzProjektartName,1,-1,ROWS($A:$A)-ROW(T.AnzProjektartName),1)),"&lt;&gt;")</f>
        <v>8</v>
      </c>
      <c r="I2" s="396" t="s">
        <v>98</v>
      </c>
      <c r="J2" s="396" t="s">
        <v>110</v>
      </c>
      <c r="K2" s="395">
        <f ca="1">COUNTIF((OFFSET(T.AnzFeiertage,1,-2,ROWS($A:$A)-ROW(T.AnzFeiertage),1)),"&gt;0")</f>
        <v>16</v>
      </c>
      <c r="L2" s="396" t="s">
        <v>89</v>
      </c>
      <c r="M2" s="395">
        <f ca="1">COUNTIF((OFFSET(T.AnzFrei_Tage,1,-1,ROWS($A:$A)-ROW(T.AnzFrei_Tage),1)),"&lt;&gt;")</f>
        <v>11</v>
      </c>
      <c r="N2" s="396" t="s">
        <v>198</v>
      </c>
      <c r="O2" s="396" t="s">
        <v>199</v>
      </c>
      <c r="P2" s="396" t="s">
        <v>200</v>
      </c>
      <c r="Q2" s="395">
        <f ca="1">COUNTIF((OFFSET(T.AnzDefinierteZeiten,1,-3,ROWS($A:$A)-ROW(T.AnzDefinierteZeiten),1)),"&lt;&gt;")</f>
        <v>3</v>
      </c>
      <c r="R2" s="396" t="s">
        <v>242</v>
      </c>
      <c r="S2" s="395">
        <f ca="1">COUNTIF((OFFSET(T.AnzWeitereAngaben,1,-1,ROWS($A:$A)-ROW(T.AnzWeitereAngaben),1)),"&lt;&gt;")</f>
        <v>2</v>
      </c>
      <c r="T2" s="396" t="s">
        <v>100</v>
      </c>
      <c r="U2" s="395">
        <f ca="1">COUNTIF((OFFSET(T.AnzWochenarbeitszeit,1,-1,ROWS($A:$A)-ROW(T.AnzWochenarbeitszeit),1)),"&lt;&gt;")</f>
        <v>3</v>
      </c>
      <c r="V2" s="396" t="s">
        <v>144</v>
      </c>
      <c r="W2" s="395">
        <f ca="1">COUNTIF((OFFSET(T.AnzProdStunden,1,-1,ROWS($A:$A)-ROW(T.AnzProdStunden),1)),"&lt;&gt;")</f>
        <v>1</v>
      </c>
      <c r="X2" s="399" t="s">
        <v>207</v>
      </c>
      <c r="Y2" s="399" t="s">
        <v>209</v>
      </c>
      <c r="Z2" s="395">
        <f ca="1">COUNTIF((OFFSET(T.AnzAbfragewerte,1,-1,ROWS($A:$A)-ROW(T.AnzAbfragewerte),1)),"&lt;&gt;")</f>
        <v>3</v>
      </c>
      <c r="AA2" s="399" t="s">
        <v>201</v>
      </c>
      <c r="AB2" s="399" t="s">
        <v>204</v>
      </c>
      <c r="AC2" s="400" t="s">
        <v>244</v>
      </c>
      <c r="AD2" s="395">
        <f ca="1">COUNTIF((OFFSET(T.DefinierteAbfragen.Knoten,1,0,ROWS($A:$A)-ROW(T.DefinierteAbfragen.Knoten),1)),"&lt;&gt;")</f>
        <v>4</v>
      </c>
      <c r="AE2" s="399" t="s">
        <v>192</v>
      </c>
      <c r="AF2" s="395">
        <f ca="1">COUNTIF((OFFSET(T.AnzJaNein,1,-1,ROWS($A:$A)-ROW(T.AnzJaNein),1)),"&lt;&gt;")</f>
        <v>2</v>
      </c>
      <c r="AG2" s="396" t="s">
        <v>177</v>
      </c>
      <c r="AH2" s="395">
        <f ca="1">COUNTIF((OFFSET(T.AnzPikett,1,-1,ROWS($A:$A)-ROW(T.AnzPikett),1)),"&lt;&gt;")</f>
        <v>4</v>
      </c>
    </row>
    <row r="3" spans="1:34" x14ac:dyDescent="0.2">
      <c r="A3" s="401" t="s">
        <v>161</v>
      </c>
      <c r="C3" s="401" t="s">
        <v>176</v>
      </c>
      <c r="E3" s="401">
        <v>1</v>
      </c>
      <c r="G3" s="401" t="s">
        <v>169</v>
      </c>
      <c r="I3" s="403">
        <v>43100</v>
      </c>
      <c r="J3" s="405">
        <v>0</v>
      </c>
      <c r="L3" s="401">
        <v>0</v>
      </c>
      <c r="N3" s="407" t="s">
        <v>77</v>
      </c>
      <c r="O3" s="409">
        <f>IF(T.50_Vetsuisse,23/24,20/24)</f>
        <v>0.83333333333333337</v>
      </c>
      <c r="P3" s="411">
        <v>0.25</v>
      </c>
      <c r="R3" s="401" t="s">
        <v>243</v>
      </c>
      <c r="T3" s="412">
        <v>1.75</v>
      </c>
      <c r="V3" s="397">
        <v>75.399305555555557</v>
      </c>
      <c r="W3" s="398"/>
      <c r="X3" s="414" t="s">
        <v>208</v>
      </c>
      <c r="Y3" s="416">
        <f>1/24*140</f>
        <v>5.833333333333333</v>
      </c>
      <c r="Z3" s="72"/>
      <c r="AA3" s="407" t="s">
        <v>202</v>
      </c>
      <c r="AB3" s="414" t="b">
        <f>AND(EB.Wochenarbeitszeit=50/24,EB.Fakultaet="Vetsuisse")</f>
        <v>0</v>
      </c>
      <c r="AC3" s="418">
        <v>0.1</v>
      </c>
      <c r="AD3" s="72"/>
      <c r="AE3" s="407" t="str">
        <f>IF(EB.Sprache="DE","Ja","Yes")</f>
        <v>Ja</v>
      </c>
      <c r="AF3" s="72"/>
      <c r="AG3" s="407" t="str">
        <f>AE4</f>
        <v>Nein</v>
      </c>
      <c r="AH3" s="72"/>
    </row>
    <row r="4" spans="1:34" x14ac:dyDescent="0.2">
      <c r="A4" s="420" t="s">
        <v>162</v>
      </c>
      <c r="C4" s="420" t="s">
        <v>167</v>
      </c>
      <c r="E4" s="420">
        <v>2</v>
      </c>
      <c r="G4" s="420" t="s">
        <v>170</v>
      </c>
      <c r="I4" s="421">
        <v>43101</v>
      </c>
      <c r="J4" s="422">
        <v>0</v>
      </c>
      <c r="L4" s="420">
        <v>1</v>
      </c>
      <c r="N4" s="423" t="s">
        <v>196</v>
      </c>
      <c r="O4" s="424">
        <f>20/24</f>
        <v>0.83333333333333337</v>
      </c>
      <c r="P4" s="424">
        <f>23/24</f>
        <v>0.95833333333333337</v>
      </c>
      <c r="R4" s="420" t="s">
        <v>258</v>
      </c>
      <c r="T4" s="413">
        <v>2</v>
      </c>
      <c r="V4" s="9"/>
      <c r="W4" s="398"/>
      <c r="X4" s="415" t="s">
        <v>210</v>
      </c>
      <c r="Y4" s="417">
        <v>0.85</v>
      </c>
      <c r="Z4" s="9"/>
      <c r="AA4" s="423" t="s">
        <v>203</v>
      </c>
      <c r="AB4" s="425" t="b">
        <f>AND(EB.Wochenarbeitszeit=50/24,EB.Fakultaet&lt;&gt;"Vetsuisse")</f>
        <v>0</v>
      </c>
      <c r="AC4" s="426">
        <v>0</v>
      </c>
      <c r="AD4" s="9"/>
      <c r="AE4" s="408" t="str">
        <f>IF(EB.Sprache="DE","Nein","No")</f>
        <v>Nein</v>
      </c>
      <c r="AG4" s="423" t="s">
        <v>178</v>
      </c>
    </row>
    <row r="5" spans="1:34" x14ac:dyDescent="0.2">
      <c r="A5" s="420" t="s">
        <v>163</v>
      </c>
      <c r="C5" s="420" t="s">
        <v>168</v>
      </c>
      <c r="E5" s="420">
        <v>3</v>
      </c>
      <c r="G5" s="420" t="s">
        <v>171</v>
      </c>
      <c r="I5" s="421">
        <v>43203</v>
      </c>
      <c r="J5" s="422">
        <f>6/8.4</f>
        <v>0.7142857142857143</v>
      </c>
      <c r="L5" s="420">
        <v>2</v>
      </c>
      <c r="N5" s="423" t="s">
        <v>226</v>
      </c>
      <c r="O5" s="424"/>
      <c r="P5" s="424">
        <v>0.33333333333333331</v>
      </c>
      <c r="R5" s="420"/>
      <c r="T5" s="413">
        <v>2.0833333333333335</v>
      </c>
      <c r="V5" s="9"/>
      <c r="W5" s="9"/>
      <c r="X5" s="415" t="s">
        <v>254</v>
      </c>
      <c r="Y5" s="428">
        <f ca="1">IFERROR(EB.Wochenarbeitszeit*2*(EB.BG_Total/100),0)</f>
        <v>3.5</v>
      </c>
      <c r="Z5" s="9"/>
      <c r="AA5" s="408" t="s">
        <v>243</v>
      </c>
      <c r="AB5" s="415" t="b">
        <f>IFERROR(IF(FIND("ServiceCenter Irchel",EB.WeitereAngaben)&gt;0,TRUE,FALSE),FALSE)</f>
        <v>0</v>
      </c>
      <c r="AC5" s="419">
        <v>0.2</v>
      </c>
      <c r="AD5" s="9"/>
      <c r="AG5" s="423" t="s">
        <v>179</v>
      </c>
    </row>
    <row r="6" spans="1:34" x14ac:dyDescent="0.2">
      <c r="A6" s="420" t="s">
        <v>174</v>
      </c>
      <c r="C6" s="420" t="s">
        <v>218</v>
      </c>
      <c r="E6" s="420">
        <v>4</v>
      </c>
      <c r="G6" s="420" t="s">
        <v>172</v>
      </c>
      <c r="I6" s="421">
        <v>43204</v>
      </c>
      <c r="J6" s="422">
        <v>0</v>
      </c>
      <c r="L6" s="420">
        <v>3</v>
      </c>
      <c r="N6" s="421"/>
      <c r="O6" s="424"/>
      <c r="P6" s="424"/>
      <c r="R6" s="420"/>
      <c r="V6" s="9"/>
      <c r="W6" s="9"/>
      <c r="X6" s="9"/>
      <c r="Y6" s="9"/>
      <c r="Z6" s="9"/>
      <c r="AA6" s="408" t="s">
        <v>258</v>
      </c>
      <c r="AB6" s="415" t="b">
        <f>IFERROR(IF(FIND("Med. Mikrobiologie (Nachtdienst)",EB.WeitereAngaben)&gt;0,TRUE,FALSE),FALSE)</f>
        <v>0</v>
      </c>
      <c r="AC6" s="419">
        <v>0.2</v>
      </c>
      <c r="AD6" s="9"/>
      <c r="AG6" s="408" t="str">
        <f>AE3</f>
        <v>Ja</v>
      </c>
    </row>
    <row r="7" spans="1:34" x14ac:dyDescent="0.2">
      <c r="A7" s="420" t="s">
        <v>164</v>
      </c>
      <c r="C7" s="420" t="s">
        <v>186</v>
      </c>
      <c r="E7" s="420">
        <v>5</v>
      </c>
      <c r="G7" s="420" t="s">
        <v>180</v>
      </c>
      <c r="I7" s="421">
        <v>43207</v>
      </c>
      <c r="J7" s="422">
        <v>0</v>
      </c>
      <c r="L7" s="420">
        <v>4</v>
      </c>
      <c r="N7" s="421"/>
      <c r="O7" s="424"/>
      <c r="P7" s="424"/>
      <c r="R7" s="420"/>
      <c r="V7" s="9"/>
      <c r="W7" s="9"/>
      <c r="X7" s="9"/>
      <c r="Y7" s="9"/>
      <c r="Z7" s="9"/>
      <c r="AA7" s="9"/>
      <c r="AB7" s="9"/>
      <c r="AD7" s="9"/>
    </row>
    <row r="8" spans="1:34" x14ac:dyDescent="0.2">
      <c r="A8" s="423" t="s">
        <v>165</v>
      </c>
      <c r="C8" s="420" t="s">
        <v>187</v>
      </c>
      <c r="E8" s="420">
        <v>6</v>
      </c>
      <c r="G8" s="420" t="s">
        <v>213</v>
      </c>
      <c r="I8" s="421">
        <v>43214</v>
      </c>
      <c r="J8" s="422">
        <v>0.5</v>
      </c>
      <c r="L8" s="420">
        <v>5</v>
      </c>
      <c r="N8" s="421"/>
      <c r="O8" s="424"/>
      <c r="P8" s="424"/>
      <c r="R8" s="420"/>
      <c r="V8" s="9"/>
      <c r="W8" s="9"/>
      <c r="X8" s="9"/>
      <c r="Y8" s="9"/>
      <c r="Z8" s="9"/>
      <c r="AA8" s="9"/>
      <c r="AB8" s="9"/>
      <c r="AD8" s="9"/>
    </row>
    <row r="9" spans="1:34" x14ac:dyDescent="0.2">
      <c r="A9" s="420" t="s">
        <v>175</v>
      </c>
      <c r="C9" s="420"/>
      <c r="E9" s="420">
        <v>7</v>
      </c>
      <c r="G9" s="427" t="s">
        <v>250</v>
      </c>
      <c r="I9" s="421">
        <v>43220</v>
      </c>
      <c r="J9" s="422">
        <v>0</v>
      </c>
      <c r="L9" s="420">
        <v>6</v>
      </c>
      <c r="N9" s="421"/>
      <c r="O9" s="424"/>
      <c r="P9" s="424"/>
      <c r="R9" s="427"/>
      <c r="V9" s="9"/>
      <c r="W9" s="9"/>
      <c r="X9" s="9"/>
      <c r="Y9" s="9"/>
      <c r="Z9" s="9"/>
      <c r="AA9" s="9"/>
      <c r="AB9" s="9"/>
      <c r="AD9" s="9"/>
    </row>
    <row r="10" spans="1:34" x14ac:dyDescent="0.2">
      <c r="A10" s="420" t="s">
        <v>166</v>
      </c>
      <c r="C10" s="420"/>
      <c r="E10" s="420"/>
      <c r="G10" s="427" t="s">
        <v>173</v>
      </c>
      <c r="I10" s="421">
        <v>43244</v>
      </c>
      <c r="J10" s="422">
        <f>6/8.4</f>
        <v>0.7142857142857143</v>
      </c>
      <c r="L10" s="420">
        <v>7</v>
      </c>
      <c r="N10" s="421"/>
      <c r="O10" s="424"/>
      <c r="P10" s="424"/>
      <c r="R10" s="427"/>
      <c r="V10" s="9"/>
      <c r="W10" s="9"/>
      <c r="X10" s="9"/>
      <c r="Y10" s="9"/>
      <c r="Z10" s="9"/>
      <c r="AA10" s="9"/>
      <c r="AB10" s="9"/>
      <c r="AD10" s="9"/>
    </row>
    <row r="11" spans="1:34" x14ac:dyDescent="0.2">
      <c r="A11" s="420"/>
      <c r="C11" s="420"/>
      <c r="E11" s="420"/>
      <c r="G11" s="420"/>
      <c r="I11" s="421">
        <v>43245</v>
      </c>
      <c r="J11" s="422">
        <v>0</v>
      </c>
      <c r="L11" s="420">
        <v>8</v>
      </c>
      <c r="N11" s="421"/>
      <c r="O11" s="424"/>
      <c r="P11" s="424"/>
      <c r="R11" s="420"/>
      <c r="V11" s="9"/>
      <c r="W11" s="9"/>
      <c r="X11" s="9"/>
      <c r="Y11" s="9"/>
      <c r="Z11" s="9"/>
      <c r="AA11" s="9"/>
      <c r="AB11" s="9"/>
      <c r="AD11" s="9"/>
    </row>
    <row r="12" spans="1:34" x14ac:dyDescent="0.2">
      <c r="A12" s="420"/>
      <c r="C12" s="420"/>
      <c r="E12" s="420"/>
      <c r="G12" s="420"/>
      <c r="I12" s="421">
        <v>43256</v>
      </c>
      <c r="J12" s="422">
        <v>0</v>
      </c>
      <c r="L12" s="420">
        <v>9</v>
      </c>
      <c r="N12" s="421"/>
      <c r="O12" s="424"/>
      <c r="P12" s="424"/>
      <c r="R12" s="420"/>
      <c r="V12" s="9"/>
      <c r="W12" s="9"/>
      <c r="X12" s="9"/>
      <c r="Y12" s="9"/>
      <c r="Z12" s="9"/>
      <c r="AA12" s="9"/>
      <c r="AB12" s="9"/>
      <c r="AD12" s="9"/>
    </row>
    <row r="13" spans="1:34" x14ac:dyDescent="0.2">
      <c r="A13" s="420"/>
      <c r="C13" s="420"/>
      <c r="E13" s="420"/>
      <c r="G13" s="420"/>
      <c r="I13" s="421">
        <v>43312</v>
      </c>
      <c r="J13" s="422">
        <v>0</v>
      </c>
      <c r="L13" s="420">
        <v>10</v>
      </c>
      <c r="N13" s="421"/>
      <c r="O13" s="424"/>
      <c r="P13" s="424"/>
      <c r="R13" s="420"/>
      <c r="V13" s="9"/>
      <c r="W13" s="9"/>
      <c r="X13" s="9"/>
      <c r="Y13" s="9"/>
      <c r="Z13" s="9"/>
      <c r="AA13" s="9"/>
      <c r="AB13" s="9"/>
      <c r="AD13" s="9"/>
    </row>
    <row r="14" spans="1:34" x14ac:dyDescent="0.2">
      <c r="A14" s="420"/>
      <c r="C14" s="420"/>
      <c r="E14" s="420"/>
      <c r="G14" s="420"/>
      <c r="I14" s="421">
        <v>43354</v>
      </c>
      <c r="J14" s="422">
        <v>0.5</v>
      </c>
      <c r="L14" s="420"/>
      <c r="N14" s="421"/>
      <c r="O14" s="424"/>
      <c r="P14" s="424"/>
      <c r="R14" s="420"/>
      <c r="V14" s="9"/>
      <c r="W14" s="9"/>
      <c r="X14" s="9"/>
      <c r="Y14" s="9"/>
      <c r="Z14" s="9"/>
      <c r="AA14" s="9"/>
      <c r="AB14" s="9"/>
      <c r="AD14" s="9"/>
    </row>
    <row r="15" spans="1:34" x14ac:dyDescent="0.2">
      <c r="A15" s="420"/>
      <c r="C15" s="420"/>
      <c r="E15" s="420"/>
      <c r="G15" s="420"/>
      <c r="I15" s="421">
        <v>43457</v>
      </c>
      <c r="J15" s="422">
        <v>0.5</v>
      </c>
      <c r="L15" s="420"/>
      <c r="N15" s="421"/>
      <c r="O15" s="424"/>
      <c r="P15" s="424"/>
      <c r="R15" s="420"/>
      <c r="V15" s="9"/>
      <c r="W15" s="9"/>
      <c r="X15" s="9"/>
      <c r="Y15" s="9"/>
      <c r="Z15" s="9"/>
      <c r="AA15" s="9"/>
      <c r="AB15" s="9"/>
      <c r="AD15" s="9"/>
    </row>
    <row r="16" spans="1:34" x14ac:dyDescent="0.2">
      <c r="A16" s="420"/>
      <c r="C16" s="420"/>
      <c r="E16" s="420"/>
      <c r="G16" s="420"/>
      <c r="I16" s="421">
        <v>43458</v>
      </c>
      <c r="J16" s="422">
        <v>0</v>
      </c>
      <c r="L16" s="420"/>
      <c r="N16" s="421"/>
      <c r="O16" s="424"/>
      <c r="P16" s="424"/>
      <c r="R16" s="420"/>
      <c r="V16" s="9"/>
      <c r="W16" s="9"/>
      <c r="X16" s="9"/>
      <c r="Y16" s="9"/>
      <c r="Z16" s="9"/>
      <c r="AA16" s="9"/>
      <c r="AB16" s="9"/>
      <c r="AD16" s="9"/>
    </row>
    <row r="17" spans="1:30" x14ac:dyDescent="0.2">
      <c r="A17" s="420"/>
      <c r="C17" s="420"/>
      <c r="E17" s="420"/>
      <c r="G17" s="420"/>
      <c r="I17" s="421">
        <v>43459</v>
      </c>
      <c r="J17" s="422">
        <v>0</v>
      </c>
      <c r="L17" s="420"/>
      <c r="N17" s="421"/>
      <c r="O17" s="424"/>
      <c r="P17" s="424"/>
      <c r="R17" s="420"/>
      <c r="V17" s="9"/>
      <c r="W17" s="9"/>
      <c r="X17" s="9"/>
      <c r="Y17" s="9"/>
      <c r="Z17" s="9"/>
      <c r="AA17" s="9"/>
      <c r="AB17" s="9"/>
      <c r="AD17" s="9"/>
    </row>
    <row r="18" spans="1:30" x14ac:dyDescent="0.2">
      <c r="A18" s="420"/>
      <c r="C18" s="420"/>
      <c r="E18" s="420"/>
      <c r="G18" s="420"/>
      <c r="I18" s="421">
        <v>43464</v>
      </c>
      <c r="J18" s="422">
        <f>6/8.4</f>
        <v>0.7142857142857143</v>
      </c>
      <c r="L18" s="420"/>
      <c r="N18" s="421"/>
      <c r="O18" s="424"/>
      <c r="P18" s="424"/>
      <c r="R18" s="420"/>
      <c r="V18" s="9"/>
      <c r="W18" s="9"/>
      <c r="X18" s="9"/>
      <c r="Y18" s="9"/>
      <c r="Z18" s="9"/>
      <c r="AA18" s="9"/>
      <c r="AB18" s="9"/>
      <c r="AD18" s="9"/>
    </row>
    <row r="19" spans="1:30" x14ac:dyDescent="0.2">
      <c r="A19" s="420"/>
      <c r="C19" s="420"/>
      <c r="E19" s="420"/>
      <c r="G19" s="420"/>
      <c r="I19" s="421"/>
      <c r="J19" s="422"/>
      <c r="L19" s="420"/>
      <c r="N19" s="421"/>
      <c r="O19" s="424"/>
      <c r="P19" s="424"/>
      <c r="R19" s="420"/>
      <c r="V19" s="9"/>
      <c r="W19" s="9"/>
      <c r="X19" s="9"/>
      <c r="Y19" s="9"/>
      <c r="Z19" s="9"/>
      <c r="AA19" s="9"/>
      <c r="AB19" s="9"/>
      <c r="AD19" s="9"/>
    </row>
    <row r="20" spans="1:30" x14ac:dyDescent="0.2">
      <c r="A20" s="420"/>
      <c r="C20" s="420"/>
      <c r="E20" s="420"/>
      <c r="G20" s="420"/>
      <c r="I20" s="421"/>
      <c r="J20" s="422"/>
      <c r="L20" s="420"/>
      <c r="N20" s="421"/>
      <c r="O20" s="424"/>
      <c r="P20" s="424"/>
      <c r="R20" s="420"/>
      <c r="V20" s="9"/>
      <c r="W20" s="9"/>
      <c r="X20" s="9"/>
      <c r="Y20" s="9"/>
      <c r="Z20" s="9"/>
      <c r="AA20" s="9"/>
      <c r="AB20" s="9"/>
      <c r="AD20" s="9"/>
    </row>
    <row r="21" spans="1:30" x14ac:dyDescent="0.2">
      <c r="A21" s="420"/>
      <c r="C21" s="420"/>
      <c r="E21" s="420"/>
      <c r="G21" s="420"/>
      <c r="I21" s="421"/>
      <c r="J21" s="422"/>
      <c r="L21" s="420"/>
      <c r="N21" s="421"/>
      <c r="O21" s="424"/>
      <c r="P21" s="424"/>
      <c r="R21" s="420"/>
      <c r="V21" s="9"/>
      <c r="W21" s="9"/>
      <c r="X21" s="9"/>
      <c r="Y21" s="9"/>
      <c r="Z21" s="9"/>
      <c r="AA21" s="9"/>
      <c r="AB21" s="9"/>
      <c r="AD21" s="9"/>
    </row>
    <row r="22" spans="1:30" x14ac:dyDescent="0.2">
      <c r="A22" s="420"/>
      <c r="C22" s="420"/>
      <c r="E22" s="420"/>
      <c r="G22" s="420"/>
      <c r="I22" s="421"/>
      <c r="J22" s="422"/>
      <c r="L22" s="420"/>
      <c r="N22" s="421"/>
      <c r="O22" s="424"/>
      <c r="P22" s="424"/>
      <c r="R22" s="420"/>
      <c r="V22" s="9"/>
      <c r="W22" s="9"/>
      <c r="X22" s="9"/>
      <c r="Y22" s="9"/>
      <c r="Z22" s="9"/>
      <c r="AA22" s="9"/>
      <c r="AB22" s="9"/>
      <c r="AD22" s="9"/>
    </row>
    <row r="23" spans="1:30" x14ac:dyDescent="0.2">
      <c r="A23" s="420"/>
      <c r="C23" s="420"/>
      <c r="E23" s="420"/>
      <c r="G23" s="420"/>
      <c r="I23" s="421"/>
      <c r="J23" s="422"/>
      <c r="L23" s="420"/>
      <c r="N23" s="421"/>
      <c r="O23" s="424"/>
      <c r="P23" s="424"/>
      <c r="R23" s="420"/>
      <c r="V23" s="9"/>
      <c r="W23" s="9"/>
      <c r="X23" s="9"/>
      <c r="Y23" s="9"/>
      <c r="Z23" s="9"/>
      <c r="AA23" s="9"/>
      <c r="AB23" s="9"/>
      <c r="AD23" s="9"/>
    </row>
    <row r="24" spans="1:30" x14ac:dyDescent="0.2">
      <c r="A24" s="402"/>
      <c r="C24" s="402"/>
      <c r="E24" s="402"/>
      <c r="G24" s="402"/>
      <c r="I24" s="404"/>
      <c r="J24" s="406"/>
      <c r="L24" s="402"/>
      <c r="N24" s="404"/>
      <c r="O24" s="410"/>
      <c r="P24" s="410"/>
      <c r="R24" s="402"/>
      <c r="V24" s="9"/>
      <c r="W24" s="9"/>
      <c r="X24" s="9"/>
      <c r="Y24" s="9"/>
      <c r="Z24" s="9"/>
      <c r="AA24" s="9"/>
      <c r="AB24" s="9"/>
      <c r="AD24" s="9"/>
    </row>
    <row r="25" spans="1:30" x14ac:dyDescent="0.2">
      <c r="V25" s="9"/>
      <c r="W25" s="9"/>
      <c r="X25" s="9"/>
      <c r="Y25" s="9"/>
      <c r="Z25" s="9"/>
      <c r="AA25" s="9"/>
      <c r="AB25" s="9"/>
      <c r="AD25" s="9"/>
    </row>
  </sheetData>
  <sheetProtection sheet="1" objects="1" scenarios="1"/>
  <sortState xmlns:xlrd2="http://schemas.microsoft.com/office/spreadsheetml/2017/richdata2" ref="I3:J18">
    <sortCondition ref="I3:I18"/>
  </sortState>
  <mergeCells count="1">
    <mergeCell ref="A1:T1"/>
  </mergeCells>
  <pageMargins left="0.19685039370078741" right="0.19685039370078741" top="0.39370078740157483" bottom="0.39370078740157483" header="0.31496062992125984" footer="0.19685039370078741"/>
  <pageSetup paperSize="9" scale="55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86D6-893D-4CF5-97DF-B8F5C8BB1AD3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Januar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Sa</v>
      </c>
      <c r="C9" s="194" t="str">
        <f t="shared" si="0"/>
        <v>So</v>
      </c>
      <c r="D9" s="194" t="str">
        <f t="shared" si="0"/>
        <v>Mo</v>
      </c>
      <c r="E9" s="194" t="str">
        <f t="shared" si="0"/>
        <v>Di</v>
      </c>
      <c r="F9" s="194" t="str">
        <f t="shared" si="0"/>
        <v>Mi</v>
      </c>
      <c r="G9" s="194" t="str">
        <f t="shared" si="0"/>
        <v>Do</v>
      </c>
      <c r="H9" s="194" t="str">
        <f t="shared" si="0"/>
        <v>Fr</v>
      </c>
      <c r="I9" s="194" t="str">
        <f t="shared" si="0"/>
        <v>Sa</v>
      </c>
      <c r="J9" s="194" t="str">
        <f t="shared" si="0"/>
        <v>So</v>
      </c>
      <c r="K9" s="194" t="str">
        <f t="shared" si="0"/>
        <v>Mo</v>
      </c>
      <c r="L9" s="194" t="str">
        <f t="shared" si="0"/>
        <v>Di</v>
      </c>
      <c r="M9" s="194" t="str">
        <f t="shared" si="0"/>
        <v>Mi</v>
      </c>
      <c r="N9" s="194" t="str">
        <f t="shared" si="0"/>
        <v>Do</v>
      </c>
      <c r="O9" s="194" t="str">
        <f t="shared" si="0"/>
        <v>Fr</v>
      </c>
      <c r="P9" s="194" t="str">
        <f t="shared" si="0"/>
        <v>Sa</v>
      </c>
      <c r="Q9" s="194" t="str">
        <f t="shared" si="0"/>
        <v>So</v>
      </c>
      <c r="R9" s="194" t="str">
        <f t="shared" si="0"/>
        <v>Mo</v>
      </c>
      <c r="S9" s="194" t="str">
        <f t="shared" si="0"/>
        <v>Di</v>
      </c>
      <c r="T9" s="194" t="str">
        <f t="shared" si="0"/>
        <v>Mi</v>
      </c>
      <c r="U9" s="194" t="str">
        <f t="shared" si="0"/>
        <v>Do</v>
      </c>
      <c r="V9" s="194" t="str">
        <f t="shared" si="0"/>
        <v>Fr</v>
      </c>
      <c r="W9" s="194" t="str">
        <f t="shared" si="0"/>
        <v>Sa</v>
      </c>
      <c r="X9" s="194" t="str">
        <f t="shared" si="0"/>
        <v>So</v>
      </c>
      <c r="Y9" s="194" t="str">
        <f t="shared" si="0"/>
        <v>Mo</v>
      </c>
      <c r="Z9" s="194" t="str">
        <f t="shared" si="0"/>
        <v>Di</v>
      </c>
      <c r="AA9" s="194" t="str">
        <f t="shared" si="0"/>
        <v>Mi</v>
      </c>
      <c r="AB9" s="194" t="str">
        <f t="shared" si="0"/>
        <v>Do</v>
      </c>
      <c r="AC9" s="194" t="str">
        <f t="shared" si="0"/>
        <v>Fr</v>
      </c>
      <c r="AD9" s="194" t="str">
        <f t="shared" si="0"/>
        <v>Sa</v>
      </c>
      <c r="AE9" s="194" t="str">
        <f t="shared" si="0"/>
        <v>So</v>
      </c>
      <c r="AF9" s="194" t="str">
        <f t="shared" si="0"/>
        <v>Mo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43100</v>
      </c>
      <c r="C10" s="196">
        <f>B10+1</f>
        <v>43101</v>
      </c>
      <c r="D10" s="196">
        <f t="shared" ref="D10:AF10" si="1">C10+1</f>
        <v>43102</v>
      </c>
      <c r="E10" s="196">
        <f t="shared" si="1"/>
        <v>43103</v>
      </c>
      <c r="F10" s="196">
        <f t="shared" si="1"/>
        <v>43104</v>
      </c>
      <c r="G10" s="196">
        <f t="shared" si="1"/>
        <v>43105</v>
      </c>
      <c r="H10" s="196">
        <f t="shared" si="1"/>
        <v>43106</v>
      </c>
      <c r="I10" s="196">
        <f t="shared" si="1"/>
        <v>43107</v>
      </c>
      <c r="J10" s="196">
        <f t="shared" si="1"/>
        <v>43108</v>
      </c>
      <c r="K10" s="196">
        <f t="shared" si="1"/>
        <v>43109</v>
      </c>
      <c r="L10" s="196">
        <f t="shared" si="1"/>
        <v>43110</v>
      </c>
      <c r="M10" s="196">
        <f t="shared" si="1"/>
        <v>43111</v>
      </c>
      <c r="N10" s="196">
        <f t="shared" si="1"/>
        <v>43112</v>
      </c>
      <c r="O10" s="196">
        <f t="shared" si="1"/>
        <v>43113</v>
      </c>
      <c r="P10" s="196">
        <f t="shared" si="1"/>
        <v>43114</v>
      </c>
      <c r="Q10" s="196">
        <f t="shared" si="1"/>
        <v>43115</v>
      </c>
      <c r="R10" s="196">
        <f t="shared" si="1"/>
        <v>43116</v>
      </c>
      <c r="S10" s="196">
        <f t="shared" si="1"/>
        <v>43117</v>
      </c>
      <c r="T10" s="196">
        <f t="shared" si="1"/>
        <v>43118</v>
      </c>
      <c r="U10" s="196">
        <f t="shared" si="1"/>
        <v>43119</v>
      </c>
      <c r="V10" s="196">
        <f t="shared" si="1"/>
        <v>43120</v>
      </c>
      <c r="W10" s="196">
        <f t="shared" si="1"/>
        <v>43121</v>
      </c>
      <c r="X10" s="196">
        <f t="shared" si="1"/>
        <v>43122</v>
      </c>
      <c r="Y10" s="196">
        <f t="shared" si="1"/>
        <v>43123</v>
      </c>
      <c r="Z10" s="196">
        <f t="shared" si="1"/>
        <v>43124</v>
      </c>
      <c r="AA10" s="196">
        <f t="shared" si="1"/>
        <v>43125</v>
      </c>
      <c r="AB10" s="196">
        <f t="shared" si="1"/>
        <v>43126</v>
      </c>
      <c r="AC10" s="196">
        <f t="shared" si="1"/>
        <v>43127</v>
      </c>
      <c r="AD10" s="196">
        <f t="shared" si="1"/>
        <v>43128</v>
      </c>
      <c r="AE10" s="196">
        <f t="shared" si="1"/>
        <v>43129</v>
      </c>
      <c r="AF10" s="196">
        <f t="shared" si="1"/>
        <v>43130</v>
      </c>
      <c r="AG10" s="197" t="str">
        <f t="shared" ref="AG10:AG56" si="2">A10</f>
        <v>Tag</v>
      </c>
      <c r="AH10" s="485" t="str">
        <f>"Total " &amp; INDEX(EB.Monate.Bereich,MONTH(Monat.Tag1))</f>
        <v>Total Januar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0</v>
      </c>
      <c r="C11" s="201">
        <f t="shared" ca="1" si="3"/>
        <v>0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1</v>
      </c>
      <c r="Z11" s="203">
        <f t="shared" ca="1" si="3"/>
        <v>1</v>
      </c>
      <c r="AA11" s="201">
        <f t="shared" ca="1" si="3"/>
        <v>1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1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</v>
      </c>
      <c r="C52" s="78">
        <f t="shared" ca="1" si="14"/>
        <v>0</v>
      </c>
      <c r="D52" s="79">
        <f t="shared" ca="1" si="14"/>
        <v>0.35</v>
      </c>
      <c r="E52" s="78">
        <f t="shared" ca="1" si="14"/>
        <v>0.35</v>
      </c>
      <c r="F52" s="79">
        <f t="shared" ca="1" si="14"/>
        <v>0.35</v>
      </c>
      <c r="G52" s="79">
        <f t="shared" ca="1" si="14"/>
        <v>0.35</v>
      </c>
      <c r="H52" s="79">
        <f t="shared" ca="1" si="14"/>
        <v>0.35</v>
      </c>
      <c r="I52" s="79">
        <f t="shared" ca="1" si="14"/>
        <v>0</v>
      </c>
      <c r="J52" s="78">
        <f t="shared" ca="1" si="14"/>
        <v>0</v>
      </c>
      <c r="K52" s="79">
        <f t="shared" ca="1" si="14"/>
        <v>0.35</v>
      </c>
      <c r="L52" s="78">
        <f t="shared" ca="1" si="14"/>
        <v>0.35</v>
      </c>
      <c r="M52" s="79">
        <f t="shared" ca="1" si="14"/>
        <v>0.35</v>
      </c>
      <c r="N52" s="79">
        <f t="shared" ca="1" si="14"/>
        <v>0.35</v>
      </c>
      <c r="O52" s="79">
        <f t="shared" ca="1" si="14"/>
        <v>0.35</v>
      </c>
      <c r="P52" s="79">
        <f t="shared" ca="1" si="14"/>
        <v>0</v>
      </c>
      <c r="Q52" s="78">
        <f t="shared" ca="1" si="14"/>
        <v>0</v>
      </c>
      <c r="R52" s="79">
        <f t="shared" ca="1" si="14"/>
        <v>0.35</v>
      </c>
      <c r="S52" s="78">
        <f t="shared" ca="1" si="14"/>
        <v>0.35</v>
      </c>
      <c r="T52" s="78">
        <f t="shared" ca="1" si="14"/>
        <v>0.35</v>
      </c>
      <c r="U52" s="79">
        <f t="shared" ca="1" si="14"/>
        <v>0.35</v>
      </c>
      <c r="V52" s="79">
        <f t="shared" ca="1" si="14"/>
        <v>0.35</v>
      </c>
      <c r="W52" s="79">
        <f t="shared" ca="1" si="14"/>
        <v>0</v>
      </c>
      <c r="X52" s="78">
        <f t="shared" ca="1" si="14"/>
        <v>0</v>
      </c>
      <c r="Y52" s="79">
        <f t="shared" ca="1" si="14"/>
        <v>0.35</v>
      </c>
      <c r="Z52" s="80">
        <f t="shared" ca="1" si="14"/>
        <v>0.35</v>
      </c>
      <c r="AA52" s="79">
        <f t="shared" ca="1" si="14"/>
        <v>0.35</v>
      </c>
      <c r="AB52" s="79">
        <f t="shared" ca="1" si="14"/>
        <v>0.35</v>
      </c>
      <c r="AC52" s="79">
        <f t="shared" ca="1" si="14"/>
        <v>0.35</v>
      </c>
      <c r="AD52" s="79">
        <f t="shared" ca="1" si="14"/>
        <v>0</v>
      </c>
      <c r="AE52" s="78">
        <f t="shared" ca="1" si="14"/>
        <v>0</v>
      </c>
      <c r="AF52" s="79">
        <f t="shared" ca="1" si="14"/>
        <v>0.35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</v>
      </c>
      <c r="C53" s="239">
        <f t="shared" ca="1" si="15"/>
        <v>0</v>
      </c>
      <c r="D53" s="239">
        <f t="shared" ca="1" si="15"/>
        <v>0.35</v>
      </c>
      <c r="E53" s="239">
        <f t="shared" ca="1" si="15"/>
        <v>0.35</v>
      </c>
      <c r="F53" s="239">
        <f t="shared" ca="1" si="15"/>
        <v>0.35</v>
      </c>
      <c r="G53" s="239">
        <f t="shared" ca="1" si="15"/>
        <v>0.35</v>
      </c>
      <c r="H53" s="239">
        <f t="shared" ca="1" si="15"/>
        <v>0.35</v>
      </c>
      <c r="I53" s="239">
        <f t="shared" ca="1" si="15"/>
        <v>0</v>
      </c>
      <c r="J53" s="239">
        <f t="shared" ca="1" si="15"/>
        <v>0</v>
      </c>
      <c r="K53" s="239">
        <f t="shared" ca="1" si="15"/>
        <v>0.35</v>
      </c>
      <c r="L53" s="239">
        <f t="shared" ca="1" si="15"/>
        <v>0.35</v>
      </c>
      <c r="M53" s="239">
        <f t="shared" ca="1" si="15"/>
        <v>0.35</v>
      </c>
      <c r="N53" s="239">
        <f t="shared" ca="1" si="15"/>
        <v>0.35</v>
      </c>
      <c r="O53" s="239">
        <f t="shared" ca="1" si="15"/>
        <v>0.35</v>
      </c>
      <c r="P53" s="239">
        <f t="shared" ca="1" si="15"/>
        <v>0</v>
      </c>
      <c r="Q53" s="239">
        <f t="shared" ca="1" si="15"/>
        <v>0</v>
      </c>
      <c r="R53" s="239">
        <f t="shared" ca="1" si="15"/>
        <v>0.35</v>
      </c>
      <c r="S53" s="239">
        <f t="shared" ca="1" si="15"/>
        <v>0.35</v>
      </c>
      <c r="T53" s="239">
        <f t="shared" ca="1" si="15"/>
        <v>0.35</v>
      </c>
      <c r="U53" s="239">
        <f t="shared" ca="1" si="15"/>
        <v>0.35</v>
      </c>
      <c r="V53" s="239">
        <f t="shared" ca="1" si="15"/>
        <v>0.35</v>
      </c>
      <c r="W53" s="239">
        <f t="shared" ca="1" si="15"/>
        <v>0</v>
      </c>
      <c r="X53" s="239">
        <f t="shared" ca="1" si="15"/>
        <v>0</v>
      </c>
      <c r="Y53" s="239">
        <f t="shared" ca="1" si="15"/>
        <v>0.35</v>
      </c>
      <c r="Z53" s="239">
        <f t="shared" ca="1" si="15"/>
        <v>0.35</v>
      </c>
      <c r="AA53" s="239">
        <f t="shared" ca="1" si="15"/>
        <v>0.35</v>
      </c>
      <c r="AB53" s="239">
        <f t="shared" ca="1" si="15"/>
        <v>0.35</v>
      </c>
      <c r="AC53" s="239">
        <f t="shared" ca="1" si="15"/>
        <v>0.35</v>
      </c>
      <c r="AD53" s="239">
        <f t="shared" ca="1" si="15"/>
        <v>0</v>
      </c>
      <c r="AE53" s="239">
        <f t="shared" ca="1" si="15"/>
        <v>0</v>
      </c>
      <c r="AF53" s="239">
        <f t="shared" ca="1" si="15"/>
        <v>0.35</v>
      </c>
      <c r="AG53" s="204" t="str">
        <f t="shared" si="2"/>
        <v>Arbeitszeit SOLL gem. BG</v>
      </c>
      <c r="AH53" s="217"/>
      <c r="AI53" s="237">
        <f ca="1">SUM(B53:AF53)</f>
        <v>7.349999999999997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</v>
      </c>
      <c r="C54" s="239">
        <f t="shared" ca="1" si="16"/>
        <v>0</v>
      </c>
      <c r="D54" s="240">
        <f t="shared" ca="1" si="16"/>
        <v>0.35</v>
      </c>
      <c r="E54" s="239">
        <f t="shared" ca="1" si="16"/>
        <v>0.35</v>
      </c>
      <c r="F54" s="240">
        <f t="shared" ca="1" si="16"/>
        <v>0.35</v>
      </c>
      <c r="G54" s="240">
        <f t="shared" ca="1" si="16"/>
        <v>0.35</v>
      </c>
      <c r="H54" s="240">
        <f t="shared" ca="1" si="16"/>
        <v>0.35</v>
      </c>
      <c r="I54" s="240">
        <f t="shared" ca="1" si="16"/>
        <v>0</v>
      </c>
      <c r="J54" s="239">
        <f t="shared" ca="1" si="16"/>
        <v>0</v>
      </c>
      <c r="K54" s="240">
        <f t="shared" ca="1" si="16"/>
        <v>0.35</v>
      </c>
      <c r="L54" s="239">
        <f t="shared" ca="1" si="16"/>
        <v>0.35</v>
      </c>
      <c r="M54" s="240">
        <f t="shared" ca="1" si="16"/>
        <v>0.35</v>
      </c>
      <c r="N54" s="240">
        <f t="shared" ca="1" si="16"/>
        <v>0.35</v>
      </c>
      <c r="O54" s="240">
        <f t="shared" ca="1" si="16"/>
        <v>0.35</v>
      </c>
      <c r="P54" s="240">
        <f t="shared" ca="1" si="16"/>
        <v>0</v>
      </c>
      <c r="Q54" s="239">
        <f t="shared" ca="1" si="16"/>
        <v>0</v>
      </c>
      <c r="R54" s="240">
        <f t="shared" ca="1" si="16"/>
        <v>0.35</v>
      </c>
      <c r="S54" s="239">
        <f t="shared" ca="1" si="16"/>
        <v>0.35</v>
      </c>
      <c r="T54" s="239">
        <f t="shared" ca="1" si="16"/>
        <v>0.35</v>
      </c>
      <c r="U54" s="240">
        <f t="shared" ca="1" si="16"/>
        <v>0.35</v>
      </c>
      <c r="V54" s="240">
        <f t="shared" ca="1" si="16"/>
        <v>0.35</v>
      </c>
      <c r="W54" s="240">
        <f t="shared" ca="1" si="16"/>
        <v>0</v>
      </c>
      <c r="X54" s="239">
        <f t="shared" ca="1" si="16"/>
        <v>0</v>
      </c>
      <c r="Y54" s="240">
        <f t="shared" ca="1" si="16"/>
        <v>0.35</v>
      </c>
      <c r="Z54" s="241">
        <f t="shared" ca="1" si="16"/>
        <v>0.35</v>
      </c>
      <c r="AA54" s="240">
        <f t="shared" ca="1" si="16"/>
        <v>0.35</v>
      </c>
      <c r="AB54" s="240">
        <f t="shared" ca="1" si="16"/>
        <v>0.35</v>
      </c>
      <c r="AC54" s="240">
        <f t="shared" ca="1" si="16"/>
        <v>0.35</v>
      </c>
      <c r="AD54" s="240">
        <f t="shared" ca="1" si="16"/>
        <v>0</v>
      </c>
      <c r="AE54" s="239">
        <f t="shared" ca="1" si="16"/>
        <v>0</v>
      </c>
      <c r="AF54" s="240">
        <f t="shared" ca="1" si="16"/>
        <v>0.35</v>
      </c>
      <c r="AG54" s="204" t="str">
        <f t="shared" si="2"/>
        <v>Arbeitszeit SOLL 100%</v>
      </c>
      <c r="AH54" s="217"/>
      <c r="AI54" s="237">
        <f ca="1">SUM(B54:AF54)</f>
        <v>7.349999999999997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0</v>
      </c>
      <c r="C55" s="233">
        <f t="shared" ref="C55:AF55" ca="1" si="17">ROUND((C51-C53)*1440,0)/1440</f>
        <v>0</v>
      </c>
      <c r="D55" s="233">
        <f t="shared" ca="1" si="17"/>
        <v>-0.35</v>
      </c>
      <c r="E55" s="235">
        <f t="shared" ca="1" si="17"/>
        <v>-0.35</v>
      </c>
      <c r="F55" s="233">
        <f t="shared" ca="1" si="17"/>
        <v>-0.35</v>
      </c>
      <c r="G55" s="233">
        <f t="shared" ca="1" si="17"/>
        <v>-0.35</v>
      </c>
      <c r="H55" s="233">
        <f t="shared" ca="1" si="17"/>
        <v>-0.35</v>
      </c>
      <c r="I55" s="233">
        <f t="shared" ca="1" si="17"/>
        <v>0</v>
      </c>
      <c r="J55" s="235">
        <f t="shared" ca="1" si="17"/>
        <v>0</v>
      </c>
      <c r="K55" s="233">
        <f t="shared" ca="1" si="17"/>
        <v>-0.35</v>
      </c>
      <c r="L55" s="235">
        <f t="shared" ca="1" si="17"/>
        <v>-0.35</v>
      </c>
      <c r="M55" s="233">
        <f t="shared" ca="1" si="17"/>
        <v>-0.35</v>
      </c>
      <c r="N55" s="233">
        <f t="shared" ca="1" si="17"/>
        <v>-0.35</v>
      </c>
      <c r="O55" s="233">
        <f t="shared" ca="1" si="17"/>
        <v>-0.35</v>
      </c>
      <c r="P55" s="233">
        <f t="shared" ca="1" si="17"/>
        <v>0</v>
      </c>
      <c r="Q55" s="235">
        <f t="shared" ca="1" si="17"/>
        <v>0</v>
      </c>
      <c r="R55" s="233">
        <f t="shared" ca="1" si="17"/>
        <v>-0.35</v>
      </c>
      <c r="S55" s="235">
        <f t="shared" ca="1" si="17"/>
        <v>-0.35</v>
      </c>
      <c r="T55" s="235">
        <f t="shared" ca="1" si="17"/>
        <v>-0.35</v>
      </c>
      <c r="U55" s="233">
        <f t="shared" ca="1" si="17"/>
        <v>-0.35</v>
      </c>
      <c r="V55" s="233">
        <f t="shared" ca="1" si="17"/>
        <v>-0.35</v>
      </c>
      <c r="W55" s="233">
        <f t="shared" ca="1" si="17"/>
        <v>0</v>
      </c>
      <c r="X55" s="235">
        <f t="shared" ca="1" si="17"/>
        <v>0</v>
      </c>
      <c r="Y55" s="233">
        <f t="shared" ca="1" si="17"/>
        <v>-0.35</v>
      </c>
      <c r="Z55" s="236">
        <f t="shared" ca="1" si="17"/>
        <v>-0.35</v>
      </c>
      <c r="AA55" s="233">
        <f t="shared" ca="1" si="17"/>
        <v>-0.35</v>
      </c>
      <c r="AB55" s="233">
        <f t="shared" ca="1" si="17"/>
        <v>-0.35</v>
      </c>
      <c r="AC55" s="233">
        <f t="shared" ca="1" si="17"/>
        <v>-0.35</v>
      </c>
      <c r="AD55" s="233">
        <f t="shared" ca="1" si="17"/>
        <v>0</v>
      </c>
      <c r="AE55" s="235">
        <f t="shared" ca="1" si="17"/>
        <v>0</v>
      </c>
      <c r="AF55" s="233">
        <f t="shared" ca="1" si="17"/>
        <v>-0.35</v>
      </c>
      <c r="AG55" s="204" t="str">
        <f t="shared" si="2"/>
        <v>+/- SOLL/IST täglich</v>
      </c>
      <c r="AH55" s="217"/>
      <c r="AI55" s="237">
        <f ca="1">SUM(B55:AF55)</f>
        <v>-7.349999999999997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0</v>
      </c>
      <c r="AM55" s="208"/>
      <c r="AN55" s="244">
        <f ca="1">IF(AH57="+",(AI55+AI57),(AI55-AI57))</f>
        <v>-7.349999999999997</v>
      </c>
      <c r="AO55" s="244">
        <f ca="1">SUM(OFFSET(J.AZSaldo.Total,-12,0,MONTH(Monat.Tag1),1))</f>
        <v>-7.349999999999997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0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0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0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0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0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0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0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0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1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0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0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1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0</v>
      </c>
      <c r="AM67" s="208"/>
      <c r="AN67" s="244">
        <f ca="1">AK67+AL67-Monat.KomAZ.Total</f>
        <v>0.4375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 t="str">
        <f t="shared" ref="B82:AF82" ca="1" si="30">IF(B$12=0,"",IF(OR(WEEKDAY(B$10,2)&gt;5,B$11=0),
IF(T.50_NoVetsuisse,B45,
IF(OR(T.50_Vetsuisse,T.ServiceCenterIrchel,T.MedizinischeMikrobiologie),IF(B23-B73=0,"",B23-B73),
B60)),))</f>
        <v/>
      </c>
      <c r="C82" s="278" t="str">
        <f t="shared" ca="1" si="30"/>
        <v/>
      </c>
      <c r="D82" s="279">
        <f t="shared" ca="1" si="30"/>
        <v>0</v>
      </c>
      <c r="E82" s="278">
        <f t="shared" ca="1" si="30"/>
        <v>0</v>
      </c>
      <c r="F82" s="279">
        <f t="shared" ca="1" si="30"/>
        <v>0</v>
      </c>
      <c r="G82" s="279">
        <f t="shared" ca="1" si="30"/>
        <v>0</v>
      </c>
      <c r="H82" s="279">
        <f t="shared" ca="1" si="30"/>
        <v>0</v>
      </c>
      <c r="I82" s="279" t="str">
        <f t="shared" ca="1" si="30"/>
        <v/>
      </c>
      <c r="J82" s="278" t="str">
        <f t="shared" ca="1" si="30"/>
        <v/>
      </c>
      <c r="K82" s="279">
        <f t="shared" ca="1" si="30"/>
        <v>0</v>
      </c>
      <c r="L82" s="278">
        <f t="shared" ca="1" si="30"/>
        <v>0</v>
      </c>
      <c r="M82" s="279">
        <f t="shared" ca="1" si="30"/>
        <v>0</v>
      </c>
      <c r="N82" s="279">
        <f t="shared" ca="1" si="30"/>
        <v>0</v>
      </c>
      <c r="O82" s="279">
        <f t="shared" ca="1" si="30"/>
        <v>0</v>
      </c>
      <c r="P82" s="279" t="str">
        <f t="shared" ca="1" si="30"/>
        <v/>
      </c>
      <c r="Q82" s="278" t="str">
        <f t="shared" ca="1" si="30"/>
        <v/>
      </c>
      <c r="R82" s="279">
        <f t="shared" ca="1" si="30"/>
        <v>0</v>
      </c>
      <c r="S82" s="278">
        <f t="shared" ca="1" si="30"/>
        <v>0</v>
      </c>
      <c r="T82" s="278">
        <f t="shared" ca="1" si="30"/>
        <v>0</v>
      </c>
      <c r="U82" s="279">
        <f t="shared" ca="1" si="30"/>
        <v>0</v>
      </c>
      <c r="V82" s="279">
        <f t="shared" ca="1" si="30"/>
        <v>0</v>
      </c>
      <c r="W82" s="279" t="str">
        <f t="shared" ca="1" si="30"/>
        <v/>
      </c>
      <c r="X82" s="278" t="str">
        <f t="shared" ca="1" si="30"/>
        <v/>
      </c>
      <c r="Y82" s="279">
        <f t="shared" ca="1" si="30"/>
        <v>0</v>
      </c>
      <c r="Z82" s="280">
        <f t="shared" ca="1" si="30"/>
        <v>0</v>
      </c>
      <c r="AA82" s="279">
        <f t="shared" ca="1" si="30"/>
        <v>0</v>
      </c>
      <c r="AB82" s="279">
        <f t="shared" ca="1" si="30"/>
        <v>0</v>
      </c>
      <c r="AC82" s="279">
        <f t="shared" ca="1" si="30"/>
        <v>0</v>
      </c>
      <c r="AD82" s="279" t="str">
        <f t="shared" ca="1" si="30"/>
        <v/>
      </c>
      <c r="AE82" s="278" t="str">
        <f t="shared" ca="1" si="30"/>
        <v/>
      </c>
      <c r="AF82" s="279">
        <f t="shared" ca="1" si="30"/>
        <v>0</v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336" priority="16">
      <formula>ABS(B$114)&gt;=ROUND(1/24/60,9)</formula>
    </cfRule>
  </conditionalFormatting>
  <conditionalFormatting sqref="B13:AF22 B34:AF44 B25:AF30 B60:AF61 B67:AF67 B71:AF72 B84:AF84 B86:AF95 B97:AF111">
    <cfRule type="expression" dxfId="335" priority="14">
      <formula>WEEKDAY(B$10,2)&gt;5</formula>
    </cfRule>
    <cfRule type="expression" dxfId="334" priority="15">
      <formula>AND(NOT(ISERROR(MATCH(B$10,T.Feiertage.Bereich,0))),OFFSET(T.Feiertage.Bereich,MATCH(B$10,T.Feiertage.Bereich,0)-1,1,1,1)&gt;0)</formula>
    </cfRule>
    <cfRule type="expression" dxfId="333" priority="17">
      <formula>B$11=0</formula>
    </cfRule>
  </conditionalFormatting>
  <conditionalFormatting sqref="AN60:AO60">
    <cfRule type="expression" dxfId="332" priority="22">
      <formula>AND(T.50_Vetsuisse,AN60&gt;=T.GrenzeAngÜZ50_Vetsuisse)</formula>
    </cfRule>
    <cfRule type="expression" dxfId="331" priority="23">
      <formula>AND(T.50_Vetsuisse,AN60&gt;T.GrenzeAngÜZ50_Vetsuisse*T.AngÜZ50_Vetsuisse_orange)</formula>
    </cfRule>
  </conditionalFormatting>
  <conditionalFormatting sqref="B56:AF56">
    <cfRule type="expression" dxfId="330" priority="8">
      <formula>AND(B$10&gt;TODAY(),EB.UJAustritt="")</formula>
    </cfRule>
    <cfRule type="expression" dxfId="329" priority="9">
      <formula>B$56&gt;99.99/24</formula>
    </cfRule>
    <cfRule type="expression" dxfId="328" priority="11">
      <formula>B$56&lt;99.99/24*-1</formula>
    </cfRule>
  </conditionalFormatting>
  <conditionalFormatting sqref="AO55:AP55">
    <cfRule type="cellIs" dxfId="327" priority="24" operator="greaterThan">
      <formula>1/24/60</formula>
    </cfRule>
    <cfRule type="expression" dxfId="326" priority="25">
      <formula>AND(AO55&lt;=1/24/60*-1,TODAY()&gt;=DATE(EB.Jahr,MONTH(12),DAY(31)))</formula>
    </cfRule>
  </conditionalFormatting>
  <conditionalFormatting sqref="B56:AF56 AI58">
    <cfRule type="expression" dxfId="325" priority="10">
      <formula>B$56&gt;1/24/60</formula>
    </cfRule>
    <cfRule type="expression" dxfId="324" priority="12">
      <formula>AND(B$56&lt;=1/24/60*-1,B$56)</formula>
    </cfRule>
  </conditionalFormatting>
  <conditionalFormatting sqref="B14:AF22 B36:AF44 B26:AF30">
    <cfRule type="expression" dxfId="323" priority="6">
      <formula>AND(B14&lt;B13,B14&lt;&gt;"")</formula>
    </cfRule>
  </conditionalFormatting>
  <conditionalFormatting sqref="B72:AF73">
    <cfRule type="expression" dxfId="322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321" priority="18">
      <formula>$P$4&lt;&gt;""</formula>
    </cfRule>
  </conditionalFormatting>
  <conditionalFormatting sqref="V4">
    <cfRule type="expression" dxfId="320" priority="19">
      <formula>$V$4&lt;&gt;""</formula>
    </cfRule>
  </conditionalFormatting>
  <conditionalFormatting sqref="AP60">
    <cfRule type="expression" dxfId="319" priority="26">
      <formula>AND(T.50_Vetsuisse,AP60&gt;=T.GrenzeAngÜZ50_Vetsuisse)</formula>
    </cfRule>
    <cfRule type="expression" dxfId="318" priority="27">
      <formula>AND(T.50_Vetsuisse,AP60&gt;T.GrenzeAngÜZ50_Vetsuisse*T.AngÜZ50_Vetsuisse_orange)</formula>
    </cfRule>
  </conditionalFormatting>
  <conditionalFormatting sqref="AJ72:AJ73">
    <cfRule type="expression" dxfId="317" priority="20">
      <formula>AND(T.50_Vetsuisse,$AJ$72&lt;&gt;$AJ$73)</formula>
    </cfRule>
    <cfRule type="expression" dxfId="316" priority="21">
      <formula>$AJ$72&gt;$AJ$73</formula>
    </cfRule>
  </conditionalFormatting>
  <conditionalFormatting sqref="B55:AF55">
    <cfRule type="expression" dxfId="315" priority="7">
      <formula>AND(B$10&lt;=TODAY(),B$55&lt;1/24/60*-1)</formula>
    </cfRule>
  </conditionalFormatting>
  <conditionalFormatting sqref="AG67 AG84">
    <cfRule type="expression" dxfId="314" priority="5">
      <formula>AG67&lt;&gt;A67</formula>
    </cfRule>
  </conditionalFormatting>
  <conditionalFormatting sqref="B67:AF67">
    <cfRule type="expression" dxfId="313" priority="4">
      <formula>AND(B66=0,B67&gt;0)</formula>
    </cfRule>
  </conditionalFormatting>
  <conditionalFormatting sqref="B34:AF34">
    <cfRule type="expression" dxfId="312" priority="3">
      <formula>T.MedizinischeMikrobiologie</formula>
    </cfRule>
  </conditionalFormatting>
  <conditionalFormatting sqref="AK51">
    <cfRule type="expression" dxfId="311" priority="2">
      <formula>ISNUMBER(AK51)</formula>
    </cfRule>
  </conditionalFormatting>
  <conditionalFormatting sqref="AN51">
    <cfRule type="expression" dxfId="310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9F485B63-AA5B-4557-A1C7-C1E50FF67A28}">
      <formula1>T.JaNein.Bereich</formula1>
    </dataValidation>
    <dataValidation type="list" allowBlank="1" showInputMessage="1" showErrorMessage="1" errorTitle="Pikett Bereitschaft" error="Bitte wählen Sie einen Wert aus der Liste." sqref="B34:AF34" xr:uid="{D1EF131B-805F-45C0-8B38-5023C5E47286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3460-B140-4631-BE1E-4A7722A03BFF}">
  <sheetPr>
    <pageSetUpPr autoPageBreaks="0" fitToPage="1"/>
  </sheetPr>
  <dimension ref="A1:AN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29" width="5.75" style="50" customWidth="1"/>
    <col min="30" max="30" width="24.5" style="52" customWidth="1"/>
    <col min="31" max="31" width="2.125" style="53" customWidth="1"/>
    <col min="32" max="33" width="8.125" style="50" customWidth="1"/>
    <col min="34" max="34" width="15.875" style="50" hidden="1" customWidth="1" outlineLevel="1"/>
    <col min="35" max="36" width="14.25" style="50" hidden="1" customWidth="1" outlineLevel="1"/>
    <col min="37" max="37" width="9.375" style="37" customWidth="1" collapsed="1"/>
    <col min="38" max="39" width="8.125" style="50" customWidth="1"/>
    <col min="40" max="40" width="3.75" style="50" customWidth="1"/>
    <col min="41" max="16384" width="10.75" style="50"/>
  </cols>
  <sheetData>
    <row r="1" spans="1:40" s="54" customFormat="1" ht="22.5" customHeight="1" x14ac:dyDescent="0.2">
      <c r="A1" s="180" t="str">
        <f>INDEX(EB.Monate.Bereich,MONTH(Monat.Tag1)) &amp; " " &amp; EB.Jahr</f>
        <v>Februar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83"/>
      <c r="AE1" s="184"/>
      <c r="AF1" s="100"/>
      <c r="AG1" s="100"/>
      <c r="AH1" s="100"/>
      <c r="AI1" s="100"/>
      <c r="AJ1" s="100"/>
      <c r="AK1" s="439"/>
      <c r="AL1" s="497" t="str">
        <f>EB.Version</f>
        <v>Version 12.21</v>
      </c>
      <c r="AM1" s="497"/>
      <c r="AN1" s="102" t="str">
        <f>EB.Sprache</f>
        <v>DE</v>
      </c>
    </row>
    <row r="2" spans="1:40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05"/>
      <c r="AE2" s="187"/>
      <c r="AF2" s="118"/>
      <c r="AG2" s="118"/>
      <c r="AH2" s="118"/>
      <c r="AI2" s="118"/>
      <c r="AJ2" s="118"/>
      <c r="AK2" s="188"/>
      <c r="AL2" s="118"/>
      <c r="AM2" s="118"/>
      <c r="AN2" s="118"/>
    </row>
    <row r="3" spans="1:40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05"/>
      <c r="AE3" s="187"/>
      <c r="AF3" s="118"/>
      <c r="AG3" s="118"/>
      <c r="AH3" s="118"/>
      <c r="AI3" s="118"/>
      <c r="AJ3" s="118"/>
      <c r="AK3" s="188"/>
      <c r="AL3" s="118"/>
      <c r="AM3" s="118"/>
      <c r="AN3" s="118"/>
    </row>
    <row r="4" spans="1:40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05"/>
      <c r="AE4" s="187"/>
      <c r="AF4" s="118"/>
      <c r="AG4" s="118"/>
      <c r="AH4" s="118"/>
      <c r="AI4" s="118"/>
      <c r="AJ4" s="118"/>
      <c r="AK4" s="188"/>
      <c r="AL4" s="118"/>
      <c r="AM4" s="118"/>
      <c r="AN4" s="118"/>
    </row>
    <row r="5" spans="1:40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Februar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05"/>
      <c r="AE5" s="187"/>
      <c r="AF5" s="118"/>
      <c r="AG5" s="118"/>
      <c r="AH5" s="118"/>
      <c r="AI5" s="118"/>
      <c r="AJ5" s="118"/>
      <c r="AK5" s="188"/>
      <c r="AL5" s="118"/>
      <c r="AM5" s="118"/>
      <c r="AN5" s="118"/>
    </row>
    <row r="6" spans="1:40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05"/>
      <c r="AE6" s="187"/>
      <c r="AF6" s="118"/>
      <c r="AG6" s="118"/>
      <c r="AH6" s="118"/>
      <c r="AI6" s="118"/>
      <c r="AJ6" s="118"/>
      <c r="AK6" s="188"/>
      <c r="AL6" s="118"/>
      <c r="AM6" s="118"/>
      <c r="AN6" s="118"/>
    </row>
    <row r="7" spans="1:40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05"/>
      <c r="AE7" s="187"/>
      <c r="AF7" s="118"/>
      <c r="AG7" s="118"/>
      <c r="AH7" s="118"/>
      <c r="AI7" s="118"/>
      <c r="AJ7" s="118"/>
      <c r="AK7" s="188"/>
      <c r="AL7" s="118"/>
      <c r="AM7" s="118"/>
      <c r="AN7" s="118"/>
    </row>
    <row r="8" spans="1:40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05"/>
      <c r="AE8" s="187"/>
      <c r="AF8" s="118"/>
      <c r="AG8" s="118"/>
      <c r="AH8" s="118"/>
      <c r="AI8" s="118"/>
      <c r="AJ8" s="118"/>
      <c r="AK8" s="188"/>
      <c r="AL8" s="118"/>
      <c r="AM8" s="118"/>
      <c r="AN8" s="118"/>
    </row>
    <row r="9" spans="1:40" s="38" customFormat="1" ht="15" customHeight="1" x14ac:dyDescent="0.2">
      <c r="A9" s="134"/>
      <c r="B9" s="194" t="str">
        <f t="shared" ref="B9:AC9" si="0">INDEX(Monat.Wochentage.Bereich,1,WEEKDAY(B10,2))</f>
        <v>Di</v>
      </c>
      <c r="C9" s="194" t="str">
        <f t="shared" si="0"/>
        <v>Mi</v>
      </c>
      <c r="D9" s="194" t="str">
        <f t="shared" si="0"/>
        <v>Do</v>
      </c>
      <c r="E9" s="194" t="str">
        <f t="shared" si="0"/>
        <v>Fr</v>
      </c>
      <c r="F9" s="194" t="str">
        <f t="shared" si="0"/>
        <v>Sa</v>
      </c>
      <c r="G9" s="194" t="str">
        <f t="shared" si="0"/>
        <v>So</v>
      </c>
      <c r="H9" s="194" t="str">
        <f t="shared" si="0"/>
        <v>Mo</v>
      </c>
      <c r="I9" s="194" t="str">
        <f t="shared" si="0"/>
        <v>Di</v>
      </c>
      <c r="J9" s="194" t="str">
        <f t="shared" si="0"/>
        <v>Mi</v>
      </c>
      <c r="K9" s="194" t="str">
        <f t="shared" si="0"/>
        <v>Do</v>
      </c>
      <c r="L9" s="194" t="str">
        <f t="shared" si="0"/>
        <v>Fr</v>
      </c>
      <c r="M9" s="194" t="str">
        <f t="shared" si="0"/>
        <v>Sa</v>
      </c>
      <c r="N9" s="194" t="str">
        <f t="shared" si="0"/>
        <v>So</v>
      </c>
      <c r="O9" s="194" t="str">
        <f t="shared" si="0"/>
        <v>Mo</v>
      </c>
      <c r="P9" s="194" t="str">
        <f t="shared" si="0"/>
        <v>Di</v>
      </c>
      <c r="Q9" s="194" t="str">
        <f t="shared" si="0"/>
        <v>Mi</v>
      </c>
      <c r="R9" s="194" t="str">
        <f t="shared" si="0"/>
        <v>Do</v>
      </c>
      <c r="S9" s="194" t="str">
        <f t="shared" si="0"/>
        <v>Fr</v>
      </c>
      <c r="T9" s="194" t="str">
        <f t="shared" si="0"/>
        <v>Sa</v>
      </c>
      <c r="U9" s="194" t="str">
        <f t="shared" si="0"/>
        <v>So</v>
      </c>
      <c r="V9" s="194" t="str">
        <f t="shared" si="0"/>
        <v>Mo</v>
      </c>
      <c r="W9" s="194" t="str">
        <f t="shared" si="0"/>
        <v>Di</v>
      </c>
      <c r="X9" s="194" t="str">
        <f t="shared" si="0"/>
        <v>Mi</v>
      </c>
      <c r="Y9" s="194" t="str">
        <f t="shared" si="0"/>
        <v>Do</v>
      </c>
      <c r="Z9" s="194" t="str">
        <f t="shared" si="0"/>
        <v>Fr</v>
      </c>
      <c r="AA9" s="194" t="str">
        <f t="shared" si="0"/>
        <v>Sa</v>
      </c>
      <c r="AB9" s="194" t="str">
        <f t="shared" si="0"/>
        <v>So</v>
      </c>
      <c r="AC9" s="194" t="str">
        <f t="shared" si="0"/>
        <v>Mo</v>
      </c>
      <c r="AD9" s="105"/>
      <c r="AE9" s="187"/>
      <c r="AF9" s="118"/>
      <c r="AG9" s="118"/>
      <c r="AH9" s="118"/>
      <c r="AI9" s="118"/>
      <c r="AJ9" s="118"/>
      <c r="AK9" s="188"/>
      <c r="AL9" s="118"/>
      <c r="AM9" s="118"/>
      <c r="AN9" s="118"/>
    </row>
    <row r="10" spans="1:40" s="59" customFormat="1" ht="25.5" x14ac:dyDescent="0.2">
      <c r="A10" s="195" t="s">
        <v>15</v>
      </c>
      <c r="B10" s="196">
        <v>43131</v>
      </c>
      <c r="C10" s="196">
        <f>B10+1</f>
        <v>43132</v>
      </c>
      <c r="D10" s="196">
        <f t="shared" ref="D10:AC10" si="1">C10+1</f>
        <v>43133</v>
      </c>
      <c r="E10" s="196">
        <f t="shared" si="1"/>
        <v>43134</v>
      </c>
      <c r="F10" s="196">
        <f t="shared" si="1"/>
        <v>43135</v>
      </c>
      <c r="G10" s="196">
        <f t="shared" si="1"/>
        <v>43136</v>
      </c>
      <c r="H10" s="196">
        <f t="shared" si="1"/>
        <v>43137</v>
      </c>
      <c r="I10" s="196">
        <f t="shared" si="1"/>
        <v>43138</v>
      </c>
      <c r="J10" s="196">
        <f t="shared" si="1"/>
        <v>43139</v>
      </c>
      <c r="K10" s="196">
        <f t="shared" si="1"/>
        <v>43140</v>
      </c>
      <c r="L10" s="196">
        <f t="shared" si="1"/>
        <v>43141</v>
      </c>
      <c r="M10" s="196">
        <f t="shared" si="1"/>
        <v>43142</v>
      </c>
      <c r="N10" s="196">
        <f t="shared" si="1"/>
        <v>43143</v>
      </c>
      <c r="O10" s="196">
        <f t="shared" si="1"/>
        <v>43144</v>
      </c>
      <c r="P10" s="196">
        <f t="shared" si="1"/>
        <v>43145</v>
      </c>
      <c r="Q10" s="196">
        <f t="shared" si="1"/>
        <v>43146</v>
      </c>
      <c r="R10" s="196">
        <f t="shared" si="1"/>
        <v>43147</v>
      </c>
      <c r="S10" s="196">
        <f t="shared" si="1"/>
        <v>43148</v>
      </c>
      <c r="T10" s="196">
        <f t="shared" si="1"/>
        <v>43149</v>
      </c>
      <c r="U10" s="196">
        <f t="shared" si="1"/>
        <v>43150</v>
      </c>
      <c r="V10" s="196">
        <f t="shared" si="1"/>
        <v>43151</v>
      </c>
      <c r="W10" s="196">
        <f t="shared" si="1"/>
        <v>43152</v>
      </c>
      <c r="X10" s="196">
        <f t="shared" si="1"/>
        <v>43153</v>
      </c>
      <c r="Y10" s="196">
        <f t="shared" si="1"/>
        <v>43154</v>
      </c>
      <c r="Z10" s="196">
        <f t="shared" si="1"/>
        <v>43155</v>
      </c>
      <c r="AA10" s="196">
        <f t="shared" si="1"/>
        <v>43156</v>
      </c>
      <c r="AB10" s="196">
        <f t="shared" si="1"/>
        <v>43157</v>
      </c>
      <c r="AC10" s="196">
        <f t="shared" si="1"/>
        <v>43158</v>
      </c>
      <c r="AD10" s="197" t="str">
        <f>A10</f>
        <v>Tag</v>
      </c>
      <c r="AE10" s="485" t="str">
        <f>"Total " &amp; INDEX(EB.Monate.Bereich,MONTH(Monat.Tag1))</f>
        <v>Total Februar</v>
      </c>
      <c r="AF10" s="486"/>
      <c r="AG10" s="440" t="s">
        <v>232</v>
      </c>
      <c r="AH10" s="198" t="s">
        <v>141</v>
      </c>
      <c r="AI10" s="198" t="s">
        <v>32</v>
      </c>
      <c r="AJ10" s="198" t="s">
        <v>224</v>
      </c>
      <c r="AK10" s="199" t="s">
        <v>35</v>
      </c>
      <c r="AL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M10" s="488"/>
      <c r="AN10" s="200"/>
    </row>
    <row r="11" spans="1:40" s="59" customFormat="1" ht="12" hidden="1" customHeight="1" x14ac:dyDescent="0.2">
      <c r="A11" s="195" t="s">
        <v>181</v>
      </c>
      <c r="B11" s="201">
        <f t="shared" ref="B11:AC11" ca="1" si="2">IFERROR(OFFSET(T.Feiertage.Bereich,MATCH(B$10,T.Feiertage.Bereich,0)-1,1,1,1),1)</f>
        <v>1</v>
      </c>
      <c r="C11" s="201">
        <f t="shared" ca="1" si="2"/>
        <v>1</v>
      </c>
      <c r="D11" s="201">
        <f t="shared" ca="1" si="2"/>
        <v>1</v>
      </c>
      <c r="E11" s="202">
        <f t="shared" ca="1" si="2"/>
        <v>1</v>
      </c>
      <c r="F11" s="201">
        <f t="shared" ca="1" si="2"/>
        <v>1</v>
      </c>
      <c r="G11" s="201">
        <f t="shared" ca="1" si="2"/>
        <v>1</v>
      </c>
      <c r="H11" s="201">
        <f t="shared" ca="1" si="2"/>
        <v>1</v>
      </c>
      <c r="I11" s="201">
        <f t="shared" ca="1" si="2"/>
        <v>1</v>
      </c>
      <c r="J11" s="202">
        <f t="shared" ca="1" si="2"/>
        <v>1</v>
      </c>
      <c r="K11" s="201">
        <f t="shared" ca="1" si="2"/>
        <v>1</v>
      </c>
      <c r="L11" s="202">
        <f t="shared" ca="1" si="2"/>
        <v>1</v>
      </c>
      <c r="M11" s="201">
        <f t="shared" ca="1" si="2"/>
        <v>1</v>
      </c>
      <c r="N11" s="201">
        <f t="shared" ca="1" si="2"/>
        <v>1</v>
      </c>
      <c r="O11" s="201">
        <f t="shared" ca="1" si="2"/>
        <v>1</v>
      </c>
      <c r="P11" s="201">
        <f t="shared" ca="1" si="2"/>
        <v>1</v>
      </c>
      <c r="Q11" s="202">
        <f t="shared" ca="1" si="2"/>
        <v>1</v>
      </c>
      <c r="R11" s="201">
        <f t="shared" ca="1" si="2"/>
        <v>1</v>
      </c>
      <c r="S11" s="202">
        <f t="shared" ca="1" si="2"/>
        <v>1</v>
      </c>
      <c r="T11" s="202">
        <f t="shared" ca="1" si="2"/>
        <v>1</v>
      </c>
      <c r="U11" s="201">
        <f t="shared" ca="1" si="2"/>
        <v>1</v>
      </c>
      <c r="V11" s="201">
        <f t="shared" ca="1" si="2"/>
        <v>1</v>
      </c>
      <c r="W11" s="201">
        <f t="shared" ca="1" si="2"/>
        <v>1</v>
      </c>
      <c r="X11" s="202">
        <f t="shared" ca="1" si="2"/>
        <v>1</v>
      </c>
      <c r="Y11" s="201">
        <f t="shared" ca="1" si="2"/>
        <v>1</v>
      </c>
      <c r="Z11" s="203">
        <f t="shared" ca="1" si="2"/>
        <v>1</v>
      </c>
      <c r="AA11" s="201">
        <f t="shared" ca="1" si="2"/>
        <v>1</v>
      </c>
      <c r="AB11" s="201">
        <f t="shared" ca="1" si="2"/>
        <v>1</v>
      </c>
      <c r="AC11" s="201">
        <f t="shared" ca="1" si="2"/>
        <v>1</v>
      </c>
      <c r="AD11" s="204"/>
      <c r="AE11" s="187"/>
      <c r="AF11" s="205"/>
      <c r="AG11" s="206"/>
      <c r="AH11" s="207"/>
      <c r="AI11" s="208"/>
      <c r="AJ11" s="208"/>
      <c r="AK11" s="207"/>
      <c r="AL11" s="208"/>
      <c r="AM11" s="208"/>
      <c r="AN11" s="200"/>
    </row>
    <row r="12" spans="1:40" s="59" customFormat="1" ht="12" hidden="1" customHeight="1" x14ac:dyDescent="0.2">
      <c r="A12" s="195" t="s">
        <v>191</v>
      </c>
      <c r="B12" s="209">
        <f t="shared" ref="B12:AC12" si="3">IF(OR(AND(ISNUMBER(EB.UJEintritt),EB.UJEintritt&gt;=B$10+1),AND(ISNUMBER(EB.UJAustritt),EB.UJAustritt&lt;=B$10-1)),0,1)</f>
        <v>1</v>
      </c>
      <c r="C12" s="209">
        <f t="shared" si="3"/>
        <v>1</v>
      </c>
      <c r="D12" s="209">
        <f t="shared" si="3"/>
        <v>1</v>
      </c>
      <c r="E12" s="194">
        <f t="shared" si="3"/>
        <v>1</v>
      </c>
      <c r="F12" s="209">
        <f t="shared" si="3"/>
        <v>1</v>
      </c>
      <c r="G12" s="209">
        <f t="shared" si="3"/>
        <v>1</v>
      </c>
      <c r="H12" s="209">
        <f t="shared" si="3"/>
        <v>1</v>
      </c>
      <c r="I12" s="209">
        <f t="shared" si="3"/>
        <v>1</v>
      </c>
      <c r="J12" s="194">
        <f t="shared" si="3"/>
        <v>1</v>
      </c>
      <c r="K12" s="209">
        <f t="shared" si="3"/>
        <v>1</v>
      </c>
      <c r="L12" s="194">
        <f t="shared" si="3"/>
        <v>1</v>
      </c>
      <c r="M12" s="209">
        <f t="shared" si="3"/>
        <v>1</v>
      </c>
      <c r="N12" s="209">
        <f t="shared" si="3"/>
        <v>1</v>
      </c>
      <c r="O12" s="209">
        <f t="shared" si="3"/>
        <v>1</v>
      </c>
      <c r="P12" s="209">
        <f t="shared" si="3"/>
        <v>1</v>
      </c>
      <c r="Q12" s="194">
        <f t="shared" si="3"/>
        <v>1</v>
      </c>
      <c r="R12" s="209">
        <f t="shared" si="3"/>
        <v>1</v>
      </c>
      <c r="S12" s="194">
        <f t="shared" si="3"/>
        <v>1</v>
      </c>
      <c r="T12" s="194">
        <f t="shared" si="3"/>
        <v>1</v>
      </c>
      <c r="U12" s="209">
        <f t="shared" si="3"/>
        <v>1</v>
      </c>
      <c r="V12" s="209">
        <f t="shared" si="3"/>
        <v>1</v>
      </c>
      <c r="W12" s="209">
        <f t="shared" si="3"/>
        <v>1</v>
      </c>
      <c r="X12" s="194">
        <f t="shared" si="3"/>
        <v>1</v>
      </c>
      <c r="Y12" s="209">
        <f t="shared" si="3"/>
        <v>1</v>
      </c>
      <c r="Z12" s="210">
        <f t="shared" si="3"/>
        <v>1</v>
      </c>
      <c r="AA12" s="209">
        <f t="shared" si="3"/>
        <v>1</v>
      </c>
      <c r="AB12" s="209">
        <f t="shared" si="3"/>
        <v>1</v>
      </c>
      <c r="AC12" s="209">
        <f t="shared" si="3"/>
        <v>1</v>
      </c>
      <c r="AD12" s="204"/>
      <c r="AE12" s="187"/>
      <c r="AF12" s="205"/>
      <c r="AG12" s="206"/>
      <c r="AH12" s="207"/>
      <c r="AI12" s="208"/>
      <c r="AJ12" s="208"/>
      <c r="AK12" s="207"/>
      <c r="AL12" s="208"/>
      <c r="AM12" s="208"/>
      <c r="AN12" s="200"/>
    </row>
    <row r="13" spans="1:40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204" t="str">
        <f t="shared" ref="AD13:AD23" si="4">A13</f>
        <v>ein</v>
      </c>
      <c r="AE13" s="187"/>
      <c r="AF13" s="205"/>
      <c r="AG13" s="206"/>
      <c r="AH13" s="207"/>
      <c r="AI13" s="208"/>
      <c r="AJ13" s="208"/>
      <c r="AK13" s="207"/>
      <c r="AL13" s="208"/>
      <c r="AM13" s="208"/>
      <c r="AN13" s="118"/>
    </row>
    <row r="14" spans="1:40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204" t="str">
        <f t="shared" si="4"/>
        <v>aus</v>
      </c>
      <c r="AE14" s="187"/>
      <c r="AF14" s="205"/>
      <c r="AG14" s="206"/>
      <c r="AH14" s="207"/>
      <c r="AI14" s="208"/>
      <c r="AJ14" s="208"/>
      <c r="AK14" s="207"/>
      <c r="AL14" s="208"/>
      <c r="AM14" s="208"/>
      <c r="AN14" s="118"/>
    </row>
    <row r="15" spans="1:40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204" t="str">
        <f t="shared" si="4"/>
        <v>ein</v>
      </c>
      <c r="AE15" s="187"/>
      <c r="AF15" s="205"/>
      <c r="AG15" s="206"/>
      <c r="AH15" s="207"/>
      <c r="AI15" s="208"/>
      <c r="AJ15" s="208"/>
      <c r="AK15" s="207"/>
      <c r="AL15" s="208"/>
      <c r="AM15" s="208"/>
      <c r="AN15" s="118"/>
    </row>
    <row r="16" spans="1:40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204" t="str">
        <f t="shared" si="4"/>
        <v>aus</v>
      </c>
      <c r="AE16" s="187"/>
      <c r="AF16" s="212"/>
      <c r="AG16" s="213"/>
      <c r="AH16" s="208"/>
      <c r="AI16" s="208"/>
      <c r="AJ16" s="208"/>
      <c r="AK16" s="207"/>
      <c r="AL16" s="208"/>
      <c r="AM16" s="208"/>
      <c r="AN16" s="118"/>
    </row>
    <row r="17" spans="1:40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204" t="str">
        <f t="shared" si="4"/>
        <v>ein</v>
      </c>
      <c r="AE17" s="187"/>
      <c r="AF17" s="212"/>
      <c r="AG17" s="213"/>
      <c r="AH17" s="208"/>
      <c r="AI17" s="208"/>
      <c r="AJ17" s="208"/>
      <c r="AK17" s="207"/>
      <c r="AL17" s="208"/>
      <c r="AM17" s="208"/>
      <c r="AN17" s="118"/>
    </row>
    <row r="18" spans="1:40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204" t="str">
        <f t="shared" si="4"/>
        <v>aus</v>
      </c>
      <c r="AE18" s="187"/>
      <c r="AF18" s="212"/>
      <c r="AG18" s="213"/>
      <c r="AH18" s="208"/>
      <c r="AI18" s="208"/>
      <c r="AJ18" s="208"/>
      <c r="AK18" s="207"/>
      <c r="AL18" s="208"/>
      <c r="AM18" s="208"/>
      <c r="AN18" s="118"/>
    </row>
    <row r="19" spans="1:40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204" t="str">
        <f t="shared" si="4"/>
        <v>ein</v>
      </c>
      <c r="AE19" s="187"/>
      <c r="AF19" s="212"/>
      <c r="AG19" s="213"/>
      <c r="AH19" s="208"/>
      <c r="AI19" s="208"/>
      <c r="AJ19" s="208"/>
      <c r="AK19" s="207"/>
      <c r="AL19" s="208"/>
      <c r="AM19" s="208"/>
      <c r="AN19" s="118"/>
    </row>
    <row r="20" spans="1:40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204" t="str">
        <f t="shared" si="4"/>
        <v>aus</v>
      </c>
      <c r="AE20" s="187"/>
      <c r="AF20" s="212"/>
      <c r="AG20" s="213"/>
      <c r="AH20" s="208"/>
      <c r="AI20" s="208"/>
      <c r="AJ20" s="208"/>
      <c r="AK20" s="207"/>
      <c r="AL20" s="208"/>
      <c r="AM20" s="208"/>
      <c r="AN20" s="118"/>
    </row>
    <row r="21" spans="1:40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204" t="str">
        <f t="shared" si="4"/>
        <v>ein</v>
      </c>
      <c r="AE21" s="187"/>
      <c r="AF21" s="212"/>
      <c r="AG21" s="213"/>
      <c r="AH21" s="208"/>
      <c r="AI21" s="208"/>
      <c r="AJ21" s="208"/>
      <c r="AK21" s="207"/>
      <c r="AL21" s="208"/>
      <c r="AM21" s="208"/>
      <c r="AN21" s="118"/>
    </row>
    <row r="22" spans="1:40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204" t="str">
        <f t="shared" si="4"/>
        <v>aus</v>
      </c>
      <c r="AE22" s="187"/>
      <c r="AF22" s="212"/>
      <c r="AG22" s="213"/>
      <c r="AH22" s="208"/>
      <c r="AI22" s="208"/>
      <c r="AJ22" s="208"/>
      <c r="AK22" s="207"/>
      <c r="AL22" s="208"/>
      <c r="AM22" s="208"/>
      <c r="AN22" s="118"/>
    </row>
    <row r="23" spans="1:40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C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6" t="str">
        <f t="shared" si="4"/>
        <v>Total ein/aus</v>
      </c>
      <c r="AE23" s="217"/>
      <c r="AF23" s="218">
        <f>SUM(B23:AC23)</f>
        <v>0</v>
      </c>
      <c r="AG23" s="213"/>
      <c r="AH23" s="208"/>
      <c r="AI23" s="208"/>
      <c r="AJ23" s="208"/>
      <c r="AK23" s="207"/>
      <c r="AL23" s="208"/>
      <c r="AM23" s="208"/>
      <c r="AN23" s="118"/>
    </row>
    <row r="24" spans="1:40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04"/>
      <c r="AE24" s="187"/>
      <c r="AF24" s="212"/>
      <c r="AG24" s="213"/>
      <c r="AH24" s="208"/>
      <c r="AI24" s="208"/>
      <c r="AJ24" s="208"/>
      <c r="AK24" s="207"/>
      <c r="AL24" s="208"/>
      <c r="AM24" s="208"/>
      <c r="AN24" s="118"/>
    </row>
    <row r="25" spans="1:40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204" t="str">
        <f t="shared" ref="AD25:AD30" si="6">A25</f>
        <v>bezahlte Pause ein</v>
      </c>
      <c r="AE25" s="187"/>
      <c r="AF25" s="212"/>
      <c r="AG25" s="213"/>
      <c r="AH25" s="208"/>
      <c r="AI25" s="208"/>
      <c r="AJ25" s="208"/>
      <c r="AK25" s="207"/>
      <c r="AL25" s="208"/>
      <c r="AM25" s="208"/>
      <c r="AN25" s="118"/>
    </row>
    <row r="26" spans="1:40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204" t="str">
        <f t="shared" si="6"/>
        <v>bezahlte Pause aus</v>
      </c>
      <c r="AE26" s="187"/>
      <c r="AF26" s="212"/>
      <c r="AG26" s="213"/>
      <c r="AH26" s="208"/>
      <c r="AI26" s="208"/>
      <c r="AJ26" s="208"/>
      <c r="AK26" s="207"/>
      <c r="AL26" s="208"/>
      <c r="AM26" s="208"/>
      <c r="AN26" s="118"/>
    </row>
    <row r="27" spans="1:40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204" t="str">
        <f t="shared" si="6"/>
        <v>bezahlte Pause ein</v>
      </c>
      <c r="AE27" s="187"/>
      <c r="AF27" s="212"/>
      <c r="AG27" s="213"/>
      <c r="AH27" s="208"/>
      <c r="AI27" s="208"/>
      <c r="AJ27" s="208"/>
      <c r="AK27" s="207"/>
      <c r="AL27" s="208"/>
      <c r="AM27" s="208"/>
      <c r="AN27" s="118"/>
    </row>
    <row r="28" spans="1:40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204" t="str">
        <f t="shared" si="6"/>
        <v>bezahlte Pause aus</v>
      </c>
      <c r="AE28" s="187"/>
      <c r="AF28" s="212"/>
      <c r="AG28" s="213"/>
      <c r="AH28" s="208"/>
      <c r="AI28" s="208"/>
      <c r="AJ28" s="208"/>
      <c r="AK28" s="207"/>
      <c r="AL28" s="208"/>
      <c r="AM28" s="208"/>
      <c r="AN28" s="118"/>
    </row>
    <row r="29" spans="1:40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204" t="str">
        <f t="shared" si="6"/>
        <v>bezahlte Pause ein</v>
      </c>
      <c r="AE29" s="187"/>
      <c r="AF29" s="212"/>
      <c r="AG29" s="213"/>
      <c r="AH29" s="208"/>
      <c r="AI29" s="208"/>
      <c r="AJ29" s="208"/>
      <c r="AK29" s="207"/>
      <c r="AL29" s="208"/>
      <c r="AM29" s="208"/>
      <c r="AN29" s="118"/>
    </row>
    <row r="30" spans="1:40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204" t="str">
        <f t="shared" si="6"/>
        <v>bezahlte Pause aus</v>
      </c>
      <c r="AE30" s="187"/>
      <c r="AF30" s="212"/>
      <c r="AG30" s="213"/>
      <c r="AH30" s="208"/>
      <c r="AI30" s="208"/>
      <c r="AJ30" s="208"/>
      <c r="AK30" s="207"/>
      <c r="AL30" s="208"/>
      <c r="AM30" s="208"/>
      <c r="AN30" s="118"/>
    </row>
    <row r="31" spans="1:40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04"/>
      <c r="AE31" s="187"/>
      <c r="AF31" s="212"/>
      <c r="AG31" s="213"/>
      <c r="AH31" s="208"/>
      <c r="AI31" s="208"/>
      <c r="AJ31" s="208"/>
      <c r="AK31" s="207"/>
      <c r="AL31" s="208"/>
      <c r="AM31" s="208"/>
      <c r="AN31" s="118"/>
    </row>
    <row r="32" spans="1:40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C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16" t="str">
        <f>A32</f>
        <v>Total Pausen (ein aus/bez.)</v>
      </c>
      <c r="AE32" s="217"/>
      <c r="AF32" s="218">
        <f>SUM(B32:AC32)</f>
        <v>0</v>
      </c>
      <c r="AG32" s="213"/>
      <c r="AH32" s="208"/>
      <c r="AI32" s="208"/>
      <c r="AJ32" s="208"/>
      <c r="AK32" s="207"/>
      <c r="AL32" s="208"/>
      <c r="AM32" s="208"/>
      <c r="AN32" s="118"/>
    </row>
    <row r="33" spans="1:40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04"/>
      <c r="AE33" s="187"/>
      <c r="AF33" s="212"/>
      <c r="AG33" s="213"/>
      <c r="AH33" s="208"/>
      <c r="AI33" s="208"/>
      <c r="AJ33" s="208"/>
      <c r="AK33" s="207"/>
      <c r="AL33" s="208"/>
      <c r="AM33" s="208"/>
      <c r="AN33" s="118"/>
    </row>
    <row r="34" spans="1:40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E34" s="227"/>
      <c r="AF34" s="223"/>
      <c r="AG34" s="228" t="str">
        <f ca="1">IF(T.50_Vetsuisse,IFERROR(SUMPRODUCT((B34:AC34=INDEX(T.Pikett.Bereich,4))*((B49:AC49)&lt;1/24*5)),0) &amp; " / " &amp; IFERROR(SUMPRODUCT((B34:AC34=INDEX(T.Pikett.Bereich,4))*((B49:AC49)&gt;=1/24*5)),0) &amp; " / " &amp; IFERROR(SUMPRODUCT((B34:AC34=INDEX(T.Pikett.Bereich,4))*((B49:AC49)&lt;1/24*5)),0) + IFERROR(SUMPRODUCT((B34:AC34=INDEX(T.Pikett.Bereich,4))*((B49:AC49)&gt;=1/24*5)),0),
IFERROR(SUMPRODUCT((B34:AC34=INDEX(T.Pikett.Bereich,4))*(WEEKDAY(B10:AC10,2)&lt;6)*(B11:AC11&lt;&gt;0)),0) &amp; " / " &amp; IFERROR(SUMPRODUCT((B34:AC34=INDEX(T.Pikett.Bereich,4))*(WEEKDAY(B10:AC10,2)&gt;5)*(B11:AC11&lt;&gt;0))+SUMPRODUCT((B34:AC34=INDEX(T.Pikett.Bereich,4))*(B11:AC11=0)),0) &amp; " / " &amp; IFERROR(SUMPRODUCT((B34:AC34=INDEX(T.Pikett.Bereich,4))*(WEEKDAY(B10:AC10,2)&lt;6)*(B11:AC11&lt;&gt;0)),0) + IFERROR(SUMPRODUCT((B34:AC34=INDEX(T.Pikett.Bereich,4))*(WEEKDAY(B10:AC10,2)&gt;5)*(B11:AC11&lt;&gt;0))+SUMPRODUCT((B34:AC34=INDEX(T.Pikett.Bereich,4))*(B11:AC11=0)),0))</f>
        <v>0 / 0 / 0</v>
      </c>
      <c r="AH34" s="208"/>
      <c r="AI34" s="208"/>
      <c r="AJ34" s="208"/>
      <c r="AK34" s="207"/>
      <c r="AL34" s="208"/>
      <c r="AM34" s="208"/>
      <c r="AN34" s="118"/>
    </row>
    <row r="35" spans="1:40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204" t="str">
        <f t="shared" ref="AD35:AD45" si="8">A35</f>
        <v>ein</v>
      </c>
      <c r="AE35" s="187"/>
      <c r="AF35" s="212"/>
      <c r="AG35" s="213"/>
      <c r="AH35" s="208"/>
      <c r="AI35" s="208"/>
      <c r="AJ35" s="208"/>
      <c r="AK35" s="207"/>
      <c r="AL35" s="208"/>
      <c r="AM35" s="208"/>
      <c r="AN35" s="118"/>
    </row>
    <row r="36" spans="1:40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204" t="str">
        <f t="shared" si="8"/>
        <v>aus</v>
      </c>
      <c r="AE36" s="187"/>
      <c r="AF36" s="212"/>
      <c r="AG36" s="213"/>
      <c r="AH36" s="208"/>
      <c r="AI36" s="208"/>
      <c r="AJ36" s="208"/>
      <c r="AK36" s="207"/>
      <c r="AL36" s="208"/>
      <c r="AM36" s="208"/>
      <c r="AN36" s="118"/>
    </row>
    <row r="37" spans="1:40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204" t="str">
        <f t="shared" si="8"/>
        <v>ein</v>
      </c>
      <c r="AE37" s="187"/>
      <c r="AF37" s="212"/>
      <c r="AG37" s="213"/>
      <c r="AH37" s="208"/>
      <c r="AI37" s="208"/>
      <c r="AJ37" s="208"/>
      <c r="AK37" s="207"/>
      <c r="AL37" s="208"/>
      <c r="AM37" s="208"/>
      <c r="AN37" s="118"/>
    </row>
    <row r="38" spans="1:40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204" t="str">
        <f t="shared" si="8"/>
        <v>aus</v>
      </c>
      <c r="AE38" s="187"/>
      <c r="AF38" s="212"/>
      <c r="AG38" s="213"/>
      <c r="AH38" s="208"/>
      <c r="AI38" s="208"/>
      <c r="AJ38" s="208"/>
      <c r="AK38" s="207"/>
      <c r="AL38" s="208"/>
      <c r="AM38" s="208"/>
      <c r="AN38" s="118"/>
    </row>
    <row r="39" spans="1:40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204" t="str">
        <f t="shared" si="8"/>
        <v>ein</v>
      </c>
      <c r="AE39" s="187"/>
      <c r="AF39" s="212"/>
      <c r="AG39" s="213"/>
      <c r="AH39" s="208"/>
      <c r="AI39" s="208"/>
      <c r="AJ39" s="208"/>
      <c r="AK39" s="207"/>
      <c r="AL39" s="208"/>
      <c r="AM39" s="208"/>
      <c r="AN39" s="118"/>
    </row>
    <row r="40" spans="1:40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204" t="str">
        <f t="shared" si="8"/>
        <v>aus</v>
      </c>
      <c r="AE40" s="187"/>
      <c r="AF40" s="212"/>
      <c r="AG40" s="213"/>
      <c r="AH40" s="208"/>
      <c r="AI40" s="208"/>
      <c r="AJ40" s="208"/>
      <c r="AK40" s="207"/>
      <c r="AL40" s="208"/>
      <c r="AM40" s="208"/>
      <c r="AN40" s="118"/>
    </row>
    <row r="41" spans="1:40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204" t="str">
        <f t="shared" si="8"/>
        <v>ein</v>
      </c>
      <c r="AE41" s="187"/>
      <c r="AF41" s="212"/>
      <c r="AG41" s="213"/>
      <c r="AH41" s="208"/>
      <c r="AI41" s="208"/>
      <c r="AJ41" s="208"/>
      <c r="AK41" s="207"/>
      <c r="AL41" s="208"/>
      <c r="AM41" s="208"/>
      <c r="AN41" s="118"/>
    </row>
    <row r="42" spans="1:40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204" t="str">
        <f t="shared" si="8"/>
        <v>aus</v>
      </c>
      <c r="AE42" s="187"/>
      <c r="AF42" s="212"/>
      <c r="AG42" s="213"/>
      <c r="AH42" s="208"/>
      <c r="AI42" s="208"/>
      <c r="AJ42" s="208"/>
      <c r="AK42" s="207"/>
      <c r="AL42" s="208"/>
      <c r="AM42" s="208"/>
      <c r="AN42" s="118"/>
    </row>
    <row r="43" spans="1:40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204" t="str">
        <f t="shared" si="8"/>
        <v>ein</v>
      </c>
      <c r="AE43" s="187"/>
      <c r="AF43" s="212"/>
      <c r="AG43" s="213"/>
      <c r="AH43" s="208"/>
      <c r="AI43" s="208"/>
      <c r="AJ43" s="208"/>
      <c r="AK43" s="207"/>
      <c r="AL43" s="208"/>
      <c r="AM43" s="208"/>
      <c r="AN43" s="118"/>
    </row>
    <row r="44" spans="1:40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204" t="str">
        <f t="shared" si="8"/>
        <v>aus</v>
      </c>
      <c r="AE44" s="187"/>
      <c r="AF44" s="212"/>
      <c r="AG44" s="213"/>
      <c r="AH44" s="208"/>
      <c r="AI44" s="208"/>
      <c r="AJ44" s="208"/>
      <c r="AK44" s="207"/>
      <c r="AL44" s="208"/>
      <c r="AM44" s="208"/>
      <c r="AN44" s="118"/>
    </row>
    <row r="45" spans="1:40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C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6" t="str">
        <f t="shared" si="8"/>
        <v>Total Pikett ein/aus</v>
      </c>
      <c r="AE45" s="217"/>
      <c r="AF45" s="218">
        <f>SUM(B45:AC45)</f>
        <v>0</v>
      </c>
      <c r="AG45" s="213"/>
      <c r="AH45" s="208"/>
      <c r="AI45" s="208"/>
      <c r="AJ45" s="208"/>
      <c r="AK45" s="207"/>
      <c r="AL45" s="208"/>
      <c r="AM45" s="208"/>
      <c r="AN45" s="118"/>
    </row>
    <row r="46" spans="1:40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204"/>
      <c r="AE46" s="187"/>
      <c r="AF46" s="212"/>
      <c r="AG46" s="213"/>
      <c r="AH46" s="208"/>
      <c r="AI46" s="208"/>
      <c r="AJ46" s="208"/>
      <c r="AK46" s="207"/>
      <c r="AL46" s="208"/>
      <c r="AM46" s="208"/>
      <c r="AN46" s="118"/>
    </row>
    <row r="47" spans="1:40" s="38" customFormat="1" ht="16.5" hidden="1" customHeight="1" outlineLevel="1" x14ac:dyDescent="0.2">
      <c r="A47" s="214" t="s">
        <v>222</v>
      </c>
      <c r="B47" s="215">
        <f t="shared" ref="B47:AC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6" t="str">
        <f>A47</f>
        <v>Total Pikettstunden heute</v>
      </c>
      <c r="AE47" s="187"/>
      <c r="AF47" s="212"/>
      <c r="AG47" s="213"/>
      <c r="AH47" s="208"/>
      <c r="AI47" s="208"/>
      <c r="AJ47" s="208"/>
      <c r="AK47" s="207"/>
      <c r="AL47" s="208"/>
      <c r="AM47" s="208"/>
      <c r="AN47" s="118"/>
    </row>
    <row r="48" spans="1:40" s="38" customFormat="1" ht="16.5" hidden="1" customHeight="1" outlineLevel="1" x14ac:dyDescent="0.2">
      <c r="A48" s="214" t="s">
        <v>223</v>
      </c>
      <c r="B48" s="224">
        <f t="shared" ref="B48:AC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16" t="str">
        <f>A48</f>
        <v>Total Pikettstunden gestern</v>
      </c>
      <c r="AE48" s="187"/>
      <c r="AF48" s="212"/>
      <c r="AG48" s="213"/>
      <c r="AH48" s="208"/>
      <c r="AI48" s="208"/>
      <c r="AJ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K48" s="207"/>
      <c r="AL48" s="208"/>
      <c r="AM48" s="208"/>
      <c r="AN48" s="118"/>
    </row>
    <row r="49" spans="1:40" s="38" customFormat="1" ht="16.5" hidden="1" customHeight="1" outlineLevel="1" x14ac:dyDescent="0.2">
      <c r="A49" s="214" t="s">
        <v>219</v>
      </c>
      <c r="B49" s="215">
        <f t="shared" ref="B49:AC49" ca="1" si="12">B47+IF(B$10=EOMONTH(B$10,0),$AJ48,OFFSET(B48,0,1))</f>
        <v>0</v>
      </c>
      <c r="C49" s="215">
        <f t="shared" ca="1" si="12"/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6" t="str">
        <f>A49</f>
        <v>Total Pikettdienststunden</v>
      </c>
      <c r="AE49" s="217"/>
      <c r="AF49" s="218">
        <f ca="1">SUM(B49:AC49)</f>
        <v>0</v>
      </c>
      <c r="AG49" s="213"/>
      <c r="AH49" s="208"/>
      <c r="AI49" s="208"/>
      <c r="AJ49" s="208"/>
      <c r="AK49" s="207"/>
      <c r="AL49" s="208"/>
      <c r="AM49" s="208"/>
      <c r="AN49" s="118"/>
    </row>
    <row r="50" spans="1:40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31"/>
      <c r="AE50" s="232"/>
      <c r="AF50" s="221"/>
      <c r="AG50" s="213"/>
      <c r="AH50" s="208"/>
      <c r="AI50" s="208"/>
      <c r="AJ50" s="208"/>
      <c r="AK50" s="207"/>
      <c r="AL50" s="208"/>
      <c r="AM50" s="208"/>
      <c r="AN50" s="118"/>
    </row>
    <row r="51" spans="1:40" s="38" customFormat="1" ht="15" customHeight="1" x14ac:dyDescent="0.2">
      <c r="A51" s="214" t="s">
        <v>109</v>
      </c>
      <c r="B51" s="233">
        <f t="shared" ref="B51:AC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16" t="str">
        <f t="shared" ref="AD51:AD56" si="14">A51</f>
        <v>Arbeitszeit IST</v>
      </c>
      <c r="AE51" s="217"/>
      <c r="AF51" s="237">
        <f>SUM(B51:AC51)</f>
        <v>0</v>
      </c>
      <c r="AG51" s="213"/>
      <c r="AH51" s="208" t="str">
        <f>IF(T.MedizinischeMikrobiologie,Monat.ZZSND.Total,"")</f>
        <v/>
      </c>
      <c r="AI51" s="208"/>
      <c r="AJ51" s="208"/>
      <c r="AK51" s="208" t="str">
        <f>IF(T.MedizinischeMikrobiologie,SUM(AF51,AH51),"")</f>
        <v/>
      </c>
      <c r="AL51" s="208"/>
      <c r="AM51" s="208"/>
      <c r="AN51" s="118"/>
    </row>
    <row r="52" spans="1:40" s="38" customFormat="1" ht="15" customHeight="1" outlineLevel="1" x14ac:dyDescent="0.2">
      <c r="A52" s="211" t="s">
        <v>197</v>
      </c>
      <c r="B52" s="78">
        <f t="shared" ref="B52:AC52" ca="1" si="15">IF(B$12=0,0,ROUND(INDEX(Monat.RAZ1_7.Bereich,WEEKDAY(B$10,2))*B$11*1440,0)/1440)</f>
        <v>0.35</v>
      </c>
      <c r="C52" s="78">
        <f t="shared" ca="1" si="15"/>
        <v>0.35</v>
      </c>
      <c r="D52" s="79">
        <f t="shared" ca="1" si="15"/>
        <v>0.35</v>
      </c>
      <c r="E52" s="78">
        <f t="shared" ca="1" si="15"/>
        <v>0.35</v>
      </c>
      <c r="F52" s="79">
        <f t="shared" ca="1" si="15"/>
        <v>0</v>
      </c>
      <c r="G52" s="79">
        <f t="shared" ca="1" si="15"/>
        <v>0</v>
      </c>
      <c r="H52" s="79">
        <f t="shared" ca="1" si="15"/>
        <v>0.35</v>
      </c>
      <c r="I52" s="79">
        <f t="shared" ca="1" si="15"/>
        <v>0.35</v>
      </c>
      <c r="J52" s="78">
        <f t="shared" ca="1" si="15"/>
        <v>0.35</v>
      </c>
      <c r="K52" s="79">
        <f t="shared" ca="1" si="15"/>
        <v>0.35</v>
      </c>
      <c r="L52" s="78">
        <f t="shared" ca="1" si="15"/>
        <v>0.35</v>
      </c>
      <c r="M52" s="79">
        <f t="shared" ca="1" si="15"/>
        <v>0</v>
      </c>
      <c r="N52" s="79">
        <f t="shared" ca="1" si="15"/>
        <v>0</v>
      </c>
      <c r="O52" s="79">
        <f t="shared" ca="1" si="15"/>
        <v>0.35</v>
      </c>
      <c r="P52" s="79">
        <f t="shared" ca="1" si="15"/>
        <v>0.35</v>
      </c>
      <c r="Q52" s="78">
        <f t="shared" ca="1" si="15"/>
        <v>0.35</v>
      </c>
      <c r="R52" s="79">
        <f t="shared" ca="1" si="15"/>
        <v>0.35</v>
      </c>
      <c r="S52" s="78">
        <f t="shared" ca="1" si="15"/>
        <v>0.35</v>
      </c>
      <c r="T52" s="78">
        <f t="shared" ca="1" si="15"/>
        <v>0</v>
      </c>
      <c r="U52" s="79">
        <f t="shared" ca="1" si="15"/>
        <v>0</v>
      </c>
      <c r="V52" s="79">
        <f t="shared" ca="1" si="15"/>
        <v>0.35</v>
      </c>
      <c r="W52" s="79">
        <f t="shared" ca="1" si="15"/>
        <v>0.35</v>
      </c>
      <c r="X52" s="78">
        <f t="shared" ca="1" si="15"/>
        <v>0.35</v>
      </c>
      <c r="Y52" s="79">
        <f t="shared" ca="1" si="15"/>
        <v>0.35</v>
      </c>
      <c r="Z52" s="80">
        <f t="shared" ca="1" si="15"/>
        <v>0.35</v>
      </c>
      <c r="AA52" s="79">
        <f t="shared" ca="1" si="15"/>
        <v>0</v>
      </c>
      <c r="AB52" s="79">
        <f t="shared" ca="1" si="15"/>
        <v>0</v>
      </c>
      <c r="AC52" s="79">
        <f t="shared" ca="1" si="15"/>
        <v>0.35</v>
      </c>
      <c r="AD52" s="238" t="str">
        <f t="shared" si="14"/>
        <v>Regelarbeitszeit (Info)</v>
      </c>
      <c r="AE52" s="217"/>
      <c r="AF52" s="212"/>
      <c r="AG52" s="213"/>
      <c r="AH52" s="208"/>
      <c r="AI52" s="208"/>
      <c r="AJ52" s="208"/>
      <c r="AK52" s="207"/>
      <c r="AL52" s="208"/>
      <c r="AM52" s="208"/>
      <c r="AN52" s="118"/>
    </row>
    <row r="53" spans="1:40" s="38" customFormat="1" ht="15" customHeight="1" x14ac:dyDescent="0.2">
      <c r="A53" s="211" t="s">
        <v>155</v>
      </c>
      <c r="B53" s="239">
        <f t="shared" ref="B53:AC53" ca="1" si="16">IF(B$12=0,0,ROUND(INDEX(EB.AZSOLLTag100.Bereich,MATCH(INDEX(EB.Monate.Bereich,MONTH(Monat.Tag1)),EB.Monate.Bereich,0))*B$11*IF(WEEKDAY(B$10,2)&gt;5,0,1)*$V$2/100*1440,0)/1440)</f>
        <v>0.35</v>
      </c>
      <c r="C53" s="239">
        <f t="shared" ca="1" si="16"/>
        <v>0.35</v>
      </c>
      <c r="D53" s="239">
        <f t="shared" ca="1" si="16"/>
        <v>0.35</v>
      </c>
      <c r="E53" s="239">
        <f t="shared" ca="1" si="16"/>
        <v>0.35</v>
      </c>
      <c r="F53" s="239">
        <f t="shared" ca="1" si="16"/>
        <v>0</v>
      </c>
      <c r="G53" s="239">
        <f t="shared" ca="1" si="16"/>
        <v>0</v>
      </c>
      <c r="H53" s="239">
        <f t="shared" ca="1" si="16"/>
        <v>0.35</v>
      </c>
      <c r="I53" s="239">
        <f t="shared" ca="1" si="16"/>
        <v>0.35</v>
      </c>
      <c r="J53" s="239">
        <f t="shared" ca="1" si="16"/>
        <v>0.35</v>
      </c>
      <c r="K53" s="239">
        <f t="shared" ca="1" si="16"/>
        <v>0.35</v>
      </c>
      <c r="L53" s="239">
        <f t="shared" ca="1" si="16"/>
        <v>0.35</v>
      </c>
      <c r="M53" s="239">
        <f t="shared" ca="1" si="16"/>
        <v>0</v>
      </c>
      <c r="N53" s="239">
        <f t="shared" ca="1" si="16"/>
        <v>0</v>
      </c>
      <c r="O53" s="239">
        <f t="shared" ca="1" si="16"/>
        <v>0.35</v>
      </c>
      <c r="P53" s="239">
        <f t="shared" ca="1" si="16"/>
        <v>0.35</v>
      </c>
      <c r="Q53" s="239">
        <f t="shared" ca="1" si="16"/>
        <v>0.35</v>
      </c>
      <c r="R53" s="239">
        <f t="shared" ca="1" si="16"/>
        <v>0.35</v>
      </c>
      <c r="S53" s="239">
        <f t="shared" ca="1" si="16"/>
        <v>0.35</v>
      </c>
      <c r="T53" s="239">
        <f t="shared" ca="1" si="16"/>
        <v>0</v>
      </c>
      <c r="U53" s="239">
        <f t="shared" ca="1" si="16"/>
        <v>0</v>
      </c>
      <c r="V53" s="239">
        <f t="shared" ca="1" si="16"/>
        <v>0.35</v>
      </c>
      <c r="W53" s="239">
        <f t="shared" ca="1" si="16"/>
        <v>0.35</v>
      </c>
      <c r="X53" s="239">
        <f t="shared" ca="1" si="16"/>
        <v>0.35</v>
      </c>
      <c r="Y53" s="239">
        <f t="shared" ca="1" si="16"/>
        <v>0.35</v>
      </c>
      <c r="Z53" s="239">
        <f t="shared" ca="1" si="16"/>
        <v>0.35</v>
      </c>
      <c r="AA53" s="239">
        <f t="shared" ca="1" si="16"/>
        <v>0</v>
      </c>
      <c r="AB53" s="239">
        <f t="shared" ca="1" si="16"/>
        <v>0</v>
      </c>
      <c r="AC53" s="239">
        <f t="shared" ca="1" si="16"/>
        <v>0.35</v>
      </c>
      <c r="AD53" s="204" t="str">
        <f t="shared" si="14"/>
        <v>Arbeitszeit SOLL gem. BG</v>
      </c>
      <c r="AE53" s="217"/>
      <c r="AF53" s="237">
        <f ca="1">SUM(B53:AC53)</f>
        <v>6.9999999999999973</v>
      </c>
      <c r="AG53" s="213"/>
      <c r="AH53" s="208"/>
      <c r="AI53" s="208"/>
      <c r="AJ53" s="208"/>
      <c r="AK53" s="207"/>
      <c r="AL53" s="208"/>
      <c r="AM53" s="208"/>
      <c r="AN53" s="118"/>
    </row>
    <row r="54" spans="1:40" s="38" customFormat="1" ht="15" hidden="1" customHeight="1" outlineLevel="1" x14ac:dyDescent="0.2">
      <c r="A54" s="211" t="s">
        <v>143</v>
      </c>
      <c r="B54" s="239">
        <f t="shared" ref="B54:AC54" ca="1" si="17">ROUND(INDEX(EB.AZSOLLTag100.Bereich,MATCH(INDEX(EB.Monate.Bereich,MONTH(Monat.Tag1)),EB.Monate.Bereich,0))*B$11*IF(WEEKDAY(B$10,2)&gt;5,0,1)*1440,0)/1440</f>
        <v>0.35</v>
      </c>
      <c r="C54" s="239">
        <f t="shared" ca="1" si="17"/>
        <v>0.35</v>
      </c>
      <c r="D54" s="240">
        <f t="shared" ca="1" si="17"/>
        <v>0.35</v>
      </c>
      <c r="E54" s="239">
        <f t="shared" ca="1" si="17"/>
        <v>0.35</v>
      </c>
      <c r="F54" s="240">
        <f t="shared" ca="1" si="17"/>
        <v>0</v>
      </c>
      <c r="G54" s="240">
        <f t="shared" ca="1" si="17"/>
        <v>0</v>
      </c>
      <c r="H54" s="240">
        <f t="shared" ca="1" si="17"/>
        <v>0.35</v>
      </c>
      <c r="I54" s="240">
        <f t="shared" ca="1" si="17"/>
        <v>0.35</v>
      </c>
      <c r="J54" s="239">
        <f t="shared" ca="1" si="17"/>
        <v>0.35</v>
      </c>
      <c r="K54" s="240">
        <f t="shared" ca="1" si="17"/>
        <v>0.35</v>
      </c>
      <c r="L54" s="239">
        <f t="shared" ca="1" si="17"/>
        <v>0.35</v>
      </c>
      <c r="M54" s="240">
        <f t="shared" ca="1" si="17"/>
        <v>0</v>
      </c>
      <c r="N54" s="240">
        <f t="shared" ca="1" si="17"/>
        <v>0</v>
      </c>
      <c r="O54" s="240">
        <f t="shared" ca="1" si="17"/>
        <v>0.35</v>
      </c>
      <c r="P54" s="240">
        <f t="shared" ca="1" si="17"/>
        <v>0.35</v>
      </c>
      <c r="Q54" s="239">
        <f t="shared" ca="1" si="17"/>
        <v>0.35</v>
      </c>
      <c r="R54" s="240">
        <f t="shared" ca="1" si="17"/>
        <v>0.35</v>
      </c>
      <c r="S54" s="239">
        <f t="shared" ca="1" si="17"/>
        <v>0.35</v>
      </c>
      <c r="T54" s="239">
        <f t="shared" ca="1" si="17"/>
        <v>0</v>
      </c>
      <c r="U54" s="240">
        <f t="shared" ca="1" si="17"/>
        <v>0</v>
      </c>
      <c r="V54" s="240">
        <f t="shared" ca="1" si="17"/>
        <v>0.35</v>
      </c>
      <c r="W54" s="240">
        <f t="shared" ca="1" si="17"/>
        <v>0.35</v>
      </c>
      <c r="X54" s="239">
        <f t="shared" ca="1" si="17"/>
        <v>0.35</v>
      </c>
      <c r="Y54" s="240">
        <f t="shared" ca="1" si="17"/>
        <v>0.35</v>
      </c>
      <c r="Z54" s="241">
        <f t="shared" ca="1" si="17"/>
        <v>0.35</v>
      </c>
      <c r="AA54" s="240">
        <f t="shared" ca="1" si="17"/>
        <v>0</v>
      </c>
      <c r="AB54" s="240">
        <f t="shared" ca="1" si="17"/>
        <v>0</v>
      </c>
      <c r="AC54" s="240">
        <f t="shared" ca="1" si="17"/>
        <v>0.35</v>
      </c>
      <c r="AD54" s="204" t="str">
        <f t="shared" si="14"/>
        <v>Arbeitszeit SOLL 100%</v>
      </c>
      <c r="AE54" s="217"/>
      <c r="AF54" s="237">
        <f ca="1">SUM(B54:AC54)</f>
        <v>6.9999999999999973</v>
      </c>
      <c r="AG54" s="213"/>
      <c r="AH54" s="208"/>
      <c r="AI54" s="208"/>
      <c r="AJ54" s="208"/>
      <c r="AK54" s="207"/>
      <c r="AL54" s="208"/>
      <c r="AM54" s="208"/>
      <c r="AN54" s="118"/>
    </row>
    <row r="55" spans="1:40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C55" ca="1" si="18">ROUND((C51-C53)*1440,0)/1440</f>
        <v>-0.35</v>
      </c>
      <c r="D55" s="233">
        <f t="shared" ca="1" si="18"/>
        <v>-0.35</v>
      </c>
      <c r="E55" s="235">
        <f t="shared" ca="1" si="18"/>
        <v>-0.35</v>
      </c>
      <c r="F55" s="233">
        <f t="shared" ca="1" si="18"/>
        <v>0</v>
      </c>
      <c r="G55" s="233">
        <f t="shared" ca="1" si="18"/>
        <v>0</v>
      </c>
      <c r="H55" s="233">
        <f t="shared" ca="1" si="18"/>
        <v>-0.35</v>
      </c>
      <c r="I55" s="233">
        <f t="shared" ca="1" si="18"/>
        <v>-0.35</v>
      </c>
      <c r="J55" s="235">
        <f t="shared" ca="1" si="18"/>
        <v>-0.35</v>
      </c>
      <c r="K55" s="233">
        <f t="shared" ca="1" si="18"/>
        <v>-0.35</v>
      </c>
      <c r="L55" s="235">
        <f t="shared" ca="1" si="18"/>
        <v>-0.35</v>
      </c>
      <c r="M55" s="233">
        <f t="shared" ca="1" si="18"/>
        <v>0</v>
      </c>
      <c r="N55" s="233">
        <f t="shared" ca="1" si="18"/>
        <v>0</v>
      </c>
      <c r="O55" s="233">
        <f t="shared" ca="1" si="18"/>
        <v>-0.35</v>
      </c>
      <c r="P55" s="233">
        <f t="shared" ca="1" si="18"/>
        <v>-0.35</v>
      </c>
      <c r="Q55" s="235">
        <f t="shared" ca="1" si="18"/>
        <v>-0.35</v>
      </c>
      <c r="R55" s="233">
        <f t="shared" ca="1" si="18"/>
        <v>-0.35</v>
      </c>
      <c r="S55" s="235">
        <f t="shared" ca="1" si="18"/>
        <v>-0.35</v>
      </c>
      <c r="T55" s="235">
        <f t="shared" ca="1" si="18"/>
        <v>0</v>
      </c>
      <c r="U55" s="233">
        <f t="shared" ca="1" si="18"/>
        <v>0</v>
      </c>
      <c r="V55" s="233">
        <f t="shared" ca="1" si="18"/>
        <v>-0.35</v>
      </c>
      <c r="W55" s="233">
        <f t="shared" ca="1" si="18"/>
        <v>-0.35</v>
      </c>
      <c r="X55" s="235">
        <f t="shared" ca="1" si="18"/>
        <v>-0.35</v>
      </c>
      <c r="Y55" s="233">
        <f t="shared" ca="1" si="18"/>
        <v>-0.35</v>
      </c>
      <c r="Z55" s="236">
        <f t="shared" ca="1" si="18"/>
        <v>-0.35</v>
      </c>
      <c r="AA55" s="233">
        <f t="shared" ca="1" si="18"/>
        <v>0</v>
      </c>
      <c r="AB55" s="233">
        <f t="shared" ca="1" si="18"/>
        <v>0</v>
      </c>
      <c r="AC55" s="233">
        <f t="shared" ca="1" si="18"/>
        <v>-0.35</v>
      </c>
      <c r="AD55" s="204" t="str">
        <f t="shared" si="14"/>
        <v>+/- SOLL/IST täglich</v>
      </c>
      <c r="AE55" s="217"/>
      <c r="AF55" s="237">
        <f ca="1">SUM(B55:AC55)</f>
        <v>-6.9999999999999973</v>
      </c>
      <c r="AG55" s="213"/>
      <c r="AH55" s="208"/>
      <c r="AI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-7.349999999999997</v>
      </c>
      <c r="AJ55" s="208"/>
      <c r="AK55" s="244">
        <f ca="1">IF(AE57="+",(AF55+AF57),(AF55-AF57))</f>
        <v>-6.9999999999999973</v>
      </c>
      <c r="AL55" s="244">
        <f ca="1">SUM(OFFSET(J.AZSaldo.Total,-12,0,MONTH(Monat.Tag1),1))</f>
        <v>-14.349999999999994</v>
      </c>
      <c r="AM55" s="244">
        <f ca="1">J.AZSaldo.Total</f>
        <v>-88.349999999999966</v>
      </c>
      <c r="AN55" s="118"/>
    </row>
    <row r="56" spans="1:40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04" t="str">
        <f t="shared" si="14"/>
        <v>aktuelle Mehr-/Minusstunden</v>
      </c>
      <c r="AE56" s="217"/>
      <c r="AF56" s="237">
        <f ca="1">OFFSET(B56,0,DAY(EOMONTH(Monat.Tag1,0))-1,1,1)</f>
        <v>0</v>
      </c>
      <c r="AG56" s="213"/>
      <c r="AH56" s="208"/>
      <c r="AI56" s="208"/>
      <c r="AJ56" s="208"/>
      <c r="AK56" s="207"/>
      <c r="AL56" s="208"/>
      <c r="AM56" s="208"/>
      <c r="AN56" s="118"/>
    </row>
    <row r="57" spans="1:40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11" t="s">
        <v>140</v>
      </c>
      <c r="AE57" s="43" t="s">
        <v>27</v>
      </c>
      <c r="AF57" s="73"/>
      <c r="AG57" s="253"/>
      <c r="AH57" s="254"/>
      <c r="AI57" s="208"/>
      <c r="AJ57" s="208"/>
      <c r="AK57" s="207"/>
      <c r="AL57" s="255"/>
      <c r="AM57" s="255"/>
      <c r="AN57" s="162"/>
    </row>
    <row r="58" spans="1:40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8" t="s">
        <v>230</v>
      </c>
      <c r="AE58" s="217"/>
      <c r="AF58" s="237">
        <f ca="1">IF(AE57="+",(Monat.ZUeZ.Total+AF57),(Monat.ZUeZ.Total-AF57))</f>
        <v>0</v>
      </c>
      <c r="AG58" s="259"/>
      <c r="AH58" s="260"/>
      <c r="AI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J58" s="208"/>
      <c r="AK58" s="244">
        <f ca="1">AF58</f>
        <v>0</v>
      </c>
      <c r="AL58" s="208"/>
      <c r="AM58" s="208"/>
      <c r="AN58" s="130"/>
    </row>
    <row r="59" spans="1:40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04"/>
      <c r="AE59" s="187"/>
      <c r="AF59" s="212"/>
      <c r="AG59" s="213"/>
      <c r="AH59" s="208"/>
      <c r="AI59" s="208"/>
      <c r="AJ59" s="208"/>
      <c r="AK59" s="207"/>
      <c r="AL59" s="208"/>
      <c r="AM59" s="208"/>
      <c r="AN59" s="118"/>
    </row>
    <row r="60" spans="1:40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04" t="str">
        <f>A60</f>
        <v>Angeordnete ÜZ</v>
      </c>
      <c r="AE60" s="217"/>
      <c r="AF60" s="237">
        <f ca="1">SUM(B60:AC60)</f>
        <v>0</v>
      </c>
      <c r="AG60" s="213"/>
      <c r="AH60" s="208"/>
      <c r="AI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J60" s="208"/>
      <c r="AK60" s="244">
        <f ca="1">AF60+AI60</f>
        <v>0</v>
      </c>
      <c r="AL60" s="244">
        <f ca="1">SUM(OFFSET(Jahr.AngÜZ,-12,0,MONTH(Monat.Tag1),1))</f>
        <v>0</v>
      </c>
      <c r="AM60" s="244">
        <f ca="1">Jahr.AngÜZ</f>
        <v>0</v>
      </c>
      <c r="AN60" s="118"/>
    </row>
    <row r="61" spans="1:40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04" t="str">
        <f>A61</f>
        <v>Kompensation ÜZ</v>
      </c>
      <c r="AE61" s="217"/>
      <c r="AF61" s="237">
        <f>SUM(B61:AC61)</f>
        <v>0</v>
      </c>
      <c r="AG61" s="213"/>
      <c r="AH61" s="208"/>
      <c r="AI61" s="208"/>
      <c r="AJ61" s="208"/>
      <c r="AK61" s="207"/>
      <c r="AL61" s="208"/>
      <c r="AM61" s="208"/>
      <c r="AN61" s="118"/>
    </row>
    <row r="62" spans="1:40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65" t="s">
        <v>231</v>
      </c>
      <c r="AE62" s="266"/>
      <c r="AF62" s="237">
        <f ca="1">Monat.AnUeZ.Total-Monat.KomUeZ.Total</f>
        <v>0</v>
      </c>
      <c r="AG62" s="213"/>
      <c r="AH62" s="255"/>
      <c r="AI62" s="255"/>
      <c r="AJ62" s="208"/>
      <c r="AK62" s="255"/>
      <c r="AL62" s="255"/>
      <c r="AM62" s="255"/>
      <c r="AN62" s="162"/>
    </row>
    <row r="63" spans="1:40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211" t="s">
        <v>47</v>
      </c>
      <c r="AE63" s="217"/>
      <c r="AF63" s="237">
        <f ca="1">IF(T.50_Vetsuisse,0,IF(AND(AF62&gt;0,Monat.ÜZZSBerechtigt=INDEX(T.JaNein.Bereich,1,1)),ROUND(AF62*0.25*1440,0)/1440,0))</f>
        <v>0</v>
      </c>
      <c r="AG63" s="213"/>
      <c r="AH63" s="208"/>
      <c r="AI63" s="255"/>
      <c r="AJ63" s="208"/>
      <c r="AK63" s="255"/>
      <c r="AL63" s="255"/>
      <c r="AM63" s="255"/>
      <c r="AN63" s="118"/>
    </row>
    <row r="64" spans="1:40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211" t="s">
        <v>248</v>
      </c>
      <c r="AE64" s="45" t="s">
        <v>27</v>
      </c>
      <c r="AF64" s="46"/>
      <c r="AG64" s="268"/>
      <c r="AH64" s="208"/>
      <c r="AI64" s="255"/>
      <c r="AJ64" s="208"/>
      <c r="AK64" s="255"/>
      <c r="AL64" s="255"/>
      <c r="AM64" s="255"/>
      <c r="AN64" s="118"/>
    </row>
    <row r="65" spans="1:40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8" t="s">
        <v>72</v>
      </c>
      <c r="AE65" s="266"/>
      <c r="AF65" s="237">
        <f ca="1">IF(AE64="+",(AF62+AF63+AF64),(AF62+AF63-AF64))</f>
        <v>0</v>
      </c>
      <c r="AG65" s="259"/>
      <c r="AH65" s="269"/>
      <c r="AI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J65" s="208"/>
      <c r="AK65" s="244">
        <f ca="1">AF65+AI65</f>
        <v>0</v>
      </c>
      <c r="AL65" s="244">
        <f ca="1">SUM(OFFSET(J.UeZ.Total,-12,0,MONTH(Monat.Tag1),1))</f>
        <v>0</v>
      </c>
      <c r="AM65" s="244">
        <f ca="1">J.UeZ.Total</f>
        <v>0</v>
      </c>
      <c r="AN65" s="162"/>
    </row>
    <row r="66" spans="1:40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0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0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0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0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0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0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0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0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211"/>
      <c r="AE66" s="187"/>
      <c r="AF66" s="212"/>
      <c r="AG66" s="213"/>
      <c r="AH66" s="208"/>
      <c r="AI66" s="208"/>
      <c r="AJ66" s="208"/>
      <c r="AK66" s="207"/>
      <c r="AL66" s="208"/>
      <c r="AM66" s="208"/>
      <c r="AN66" s="118"/>
    </row>
    <row r="67" spans="1:40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04" t="str">
        <f ca="1">A67 &amp; IFERROR(IF(SUMPRODUCT((B66:AC66=0)*(B67:AC67&gt;0))&gt;0," (!)",""),"")</f>
        <v>Kompensation AZ</v>
      </c>
      <c r="AE67" s="217"/>
      <c r="AF67" s="237">
        <f>SUM(B67:AC67)</f>
        <v>0</v>
      </c>
      <c r="AG67" s="259"/>
      <c r="AH67" s="243">
        <f ca="1">OFFSET(EB.MKAStd.Knoten,MONTH(Monat.Tag1),0,1,1)</f>
        <v>0.4375</v>
      </c>
      <c r="AI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0.4375</v>
      </c>
      <c r="AJ67" s="208"/>
      <c r="AK67" s="244">
        <f ca="1">AH67+AI67-Monat.KomAZ.Total</f>
        <v>0.875</v>
      </c>
      <c r="AL67" s="244">
        <f ca="1">Jahresabrechnung!P12-SUM(OFFSET(Jahresabrechnung!P15,0,0,MONTH(Monat.Tag1),1))</f>
        <v>5.25</v>
      </c>
      <c r="AM67" s="244">
        <f ca="1">Jahresabrechnung!P28</f>
        <v>5.25</v>
      </c>
      <c r="AN67" s="118"/>
    </row>
    <row r="68" spans="1:40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204"/>
      <c r="AE68" s="187"/>
      <c r="AF68" s="212"/>
      <c r="AG68" s="213"/>
      <c r="AH68" s="208"/>
      <c r="AI68" s="208"/>
      <c r="AJ68" s="208"/>
      <c r="AK68" s="434">
        <f ca="1">IF(OFFSET(A68,0,DAY(EOMONTH(Monat.Tag1,0)))=0,0,1)</f>
        <v>1</v>
      </c>
      <c r="AL68" s="208"/>
      <c r="AM68" s="208"/>
      <c r="AN68" s="118"/>
    </row>
    <row r="69" spans="1:40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C69" ca="1" si="19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9"/>
        <v>0</v>
      </c>
      <c r="E69" s="271">
        <f t="shared" ca="1" si="19"/>
        <v>0</v>
      </c>
      <c r="F69" s="271">
        <f t="shared" ca="1" si="19"/>
        <v>0</v>
      </c>
      <c r="G69" s="271">
        <f t="shared" ca="1" si="19"/>
        <v>0</v>
      </c>
      <c r="H69" s="271">
        <f t="shared" ca="1" si="19"/>
        <v>0</v>
      </c>
      <c r="I69" s="271">
        <f t="shared" ca="1" si="19"/>
        <v>0</v>
      </c>
      <c r="J69" s="271">
        <f t="shared" ca="1" si="19"/>
        <v>0</v>
      </c>
      <c r="K69" s="271">
        <f t="shared" ca="1" si="19"/>
        <v>0</v>
      </c>
      <c r="L69" s="271">
        <f t="shared" ca="1" si="19"/>
        <v>0</v>
      </c>
      <c r="M69" s="271">
        <f t="shared" ca="1" si="19"/>
        <v>0</v>
      </c>
      <c r="N69" s="271">
        <f t="shared" ca="1" si="19"/>
        <v>0</v>
      </c>
      <c r="O69" s="271">
        <f t="shared" ca="1" si="19"/>
        <v>0</v>
      </c>
      <c r="P69" s="271">
        <f t="shared" ca="1" si="19"/>
        <v>0</v>
      </c>
      <c r="Q69" s="271">
        <f t="shared" ca="1" si="19"/>
        <v>0</v>
      </c>
      <c r="R69" s="271">
        <f t="shared" ca="1" si="19"/>
        <v>0</v>
      </c>
      <c r="S69" s="271">
        <f t="shared" ca="1" si="19"/>
        <v>0</v>
      </c>
      <c r="T69" s="271">
        <f t="shared" ca="1" si="19"/>
        <v>0</v>
      </c>
      <c r="U69" s="271">
        <f t="shared" ca="1" si="19"/>
        <v>0</v>
      </c>
      <c r="V69" s="271">
        <f t="shared" ca="1" si="19"/>
        <v>0</v>
      </c>
      <c r="W69" s="271">
        <f t="shared" ca="1" si="19"/>
        <v>0</v>
      </c>
      <c r="X69" s="271">
        <f t="shared" ca="1" si="19"/>
        <v>0</v>
      </c>
      <c r="Y69" s="271">
        <f t="shared" ca="1" si="19"/>
        <v>0</v>
      </c>
      <c r="Z69" s="271">
        <f t="shared" ca="1" si="19"/>
        <v>0</v>
      </c>
      <c r="AA69" s="271">
        <f t="shared" ca="1" si="19"/>
        <v>0</v>
      </c>
      <c r="AB69" s="271">
        <f t="shared" ca="1" si="19"/>
        <v>0</v>
      </c>
      <c r="AC69" s="271">
        <f t="shared" ca="1" si="19"/>
        <v>0</v>
      </c>
      <c r="AD69" s="204" t="str">
        <f>A69</f>
        <v>Zähler Nachtdienst</v>
      </c>
      <c r="AE69" s="272"/>
      <c r="AF69" s="273">
        <f ca="1">SUM(B69:AC69)</f>
        <v>0</v>
      </c>
      <c r="AG69" s="259"/>
      <c r="AH69" s="223"/>
      <c r="AI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J69" s="208"/>
      <c r="AK69" s="275">
        <f ca="1">AI69+AF69</f>
        <v>0</v>
      </c>
      <c r="AL69" s="207"/>
      <c r="AM69" s="207"/>
      <c r="AN69" s="118"/>
    </row>
    <row r="70" spans="1:40" s="38" customFormat="1" ht="15" hidden="1" customHeight="1" x14ac:dyDescent="0.2">
      <c r="A70" s="211" t="s">
        <v>212</v>
      </c>
      <c r="B70" s="271">
        <f t="shared" ref="B70:AC70" ca="1" si="20">IF(DAY(B$10)=1,$AI$69,A70)+B69</f>
        <v>0</v>
      </c>
      <c r="C70" s="271">
        <f t="shared" ca="1" si="20"/>
        <v>0</v>
      </c>
      <c r="D70" s="271">
        <f t="shared" ca="1" si="20"/>
        <v>0</v>
      </c>
      <c r="E70" s="271">
        <f t="shared" ca="1" si="20"/>
        <v>0</v>
      </c>
      <c r="F70" s="271">
        <f t="shared" ca="1" si="20"/>
        <v>0</v>
      </c>
      <c r="G70" s="271">
        <f t="shared" ca="1" si="20"/>
        <v>0</v>
      </c>
      <c r="H70" s="271">
        <f t="shared" ca="1" si="20"/>
        <v>0</v>
      </c>
      <c r="I70" s="271">
        <f t="shared" ca="1" si="20"/>
        <v>0</v>
      </c>
      <c r="J70" s="271">
        <f t="shared" ca="1" si="20"/>
        <v>0</v>
      </c>
      <c r="K70" s="271">
        <f t="shared" ca="1" si="20"/>
        <v>0</v>
      </c>
      <c r="L70" s="271">
        <f t="shared" ca="1" si="20"/>
        <v>0</v>
      </c>
      <c r="M70" s="271">
        <f t="shared" ca="1" si="20"/>
        <v>0</v>
      </c>
      <c r="N70" s="271">
        <f t="shared" ca="1" si="20"/>
        <v>0</v>
      </c>
      <c r="O70" s="271">
        <f t="shared" ca="1" si="20"/>
        <v>0</v>
      </c>
      <c r="P70" s="271">
        <f t="shared" ca="1" si="20"/>
        <v>0</v>
      </c>
      <c r="Q70" s="271">
        <f t="shared" ca="1" si="20"/>
        <v>0</v>
      </c>
      <c r="R70" s="271">
        <f t="shared" ca="1" si="20"/>
        <v>0</v>
      </c>
      <c r="S70" s="271">
        <f t="shared" ca="1" si="20"/>
        <v>0</v>
      </c>
      <c r="T70" s="271">
        <f t="shared" ca="1" si="20"/>
        <v>0</v>
      </c>
      <c r="U70" s="271">
        <f t="shared" ca="1" si="20"/>
        <v>0</v>
      </c>
      <c r="V70" s="271">
        <f t="shared" ca="1" si="20"/>
        <v>0</v>
      </c>
      <c r="W70" s="271">
        <f t="shared" ca="1" si="20"/>
        <v>0</v>
      </c>
      <c r="X70" s="271">
        <f t="shared" ca="1" si="20"/>
        <v>0</v>
      </c>
      <c r="Y70" s="271">
        <f t="shared" ca="1" si="20"/>
        <v>0</v>
      </c>
      <c r="Z70" s="271">
        <f t="shared" ca="1" si="20"/>
        <v>0</v>
      </c>
      <c r="AA70" s="271">
        <f t="shared" ca="1" si="20"/>
        <v>0</v>
      </c>
      <c r="AB70" s="271">
        <f t="shared" ca="1" si="20"/>
        <v>0</v>
      </c>
      <c r="AC70" s="271">
        <f t="shared" ca="1" si="20"/>
        <v>0</v>
      </c>
      <c r="AD70" s="204" t="str">
        <f>A70</f>
        <v>Saldo Zähler Nachtdienst</v>
      </c>
      <c r="AE70" s="227"/>
      <c r="AF70" s="223"/>
      <c r="AG70" s="276"/>
      <c r="AH70" s="260"/>
      <c r="AI70" s="260"/>
      <c r="AJ70" s="208"/>
      <c r="AK70" s="277"/>
      <c r="AL70" s="207"/>
      <c r="AM70" s="207"/>
      <c r="AN70" s="118"/>
    </row>
    <row r="71" spans="1:40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204" t="str">
        <f>A71</f>
        <v>Kompensation ZZS Nachtdienst</v>
      </c>
      <c r="AE71" s="217"/>
      <c r="AF71" s="237">
        <f>SUM(B71:AC71)</f>
        <v>0</v>
      </c>
      <c r="AG71" s="259"/>
      <c r="AH71" s="260"/>
      <c r="AI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J71" s="208"/>
      <c r="AK71" s="244">
        <f ca="1">AF71+AI71</f>
        <v>0</v>
      </c>
      <c r="AL71" s="244">
        <f ca="1">SUM(OFFSET(Jahr.KompZZSND,-12,0,MONTH(Monat.Tag1),1))</f>
        <v>0</v>
      </c>
      <c r="AM71" s="244">
        <f ca="1">Jahr.KompZZSND</f>
        <v>0</v>
      </c>
      <c r="AN71" s="118"/>
    </row>
    <row r="72" spans="1:40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204" t="str">
        <f>A72</f>
        <v>Start Gepl. Nachtdienst Ja/Nein</v>
      </c>
      <c r="AE72" s="217"/>
      <c r="AF72" s="223"/>
      <c r="AG72" s="228">
        <f ca="1">IFERROR(SUMPRODUCT((B72:AC72=INDEX(T.JaNein.Bereich,1))*(B72:AC72&lt;&gt;"")),0)</f>
        <v>0</v>
      </c>
      <c r="AH72" s="260"/>
      <c r="AI72" s="228">
        <f ca="1">AI69</f>
        <v>0</v>
      </c>
      <c r="AJ72" s="208"/>
      <c r="AK72" s="275">
        <f ca="1">AK69</f>
        <v>0</v>
      </c>
      <c r="AL72" s="208"/>
      <c r="AM72" s="208"/>
      <c r="AN72" s="118"/>
    </row>
    <row r="73" spans="1:40" s="38" customFormat="1" ht="15" customHeight="1" outlineLevel="1" x14ac:dyDescent="0.2">
      <c r="A73" s="211" t="s">
        <v>77</v>
      </c>
      <c r="B73" s="278">
        <f t="shared" ref="B73:AC73" ca="1" si="21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1"/>
        <v>0</v>
      </c>
      <c r="D73" s="278">
        <f t="shared" ca="1" si="21"/>
        <v>0</v>
      </c>
      <c r="E73" s="278">
        <f t="shared" ca="1" si="21"/>
        <v>0</v>
      </c>
      <c r="F73" s="278">
        <f t="shared" ca="1" si="21"/>
        <v>0</v>
      </c>
      <c r="G73" s="278">
        <f t="shared" ca="1" si="21"/>
        <v>0</v>
      </c>
      <c r="H73" s="278">
        <f t="shared" ca="1" si="21"/>
        <v>0</v>
      </c>
      <c r="I73" s="278">
        <f t="shared" ca="1" si="21"/>
        <v>0</v>
      </c>
      <c r="J73" s="278">
        <f t="shared" ca="1" si="21"/>
        <v>0</v>
      </c>
      <c r="K73" s="278">
        <f t="shared" ca="1" si="21"/>
        <v>0</v>
      </c>
      <c r="L73" s="278">
        <f t="shared" ca="1" si="21"/>
        <v>0</v>
      </c>
      <c r="M73" s="278">
        <f t="shared" ca="1" si="21"/>
        <v>0</v>
      </c>
      <c r="N73" s="278">
        <f t="shared" ca="1" si="21"/>
        <v>0</v>
      </c>
      <c r="O73" s="278">
        <f t="shared" ca="1" si="21"/>
        <v>0</v>
      </c>
      <c r="P73" s="278">
        <f t="shared" ca="1" si="21"/>
        <v>0</v>
      </c>
      <c r="Q73" s="278">
        <f t="shared" ca="1" si="21"/>
        <v>0</v>
      </c>
      <c r="R73" s="278">
        <f t="shared" ca="1" si="21"/>
        <v>0</v>
      </c>
      <c r="S73" s="278">
        <f t="shared" ca="1" si="21"/>
        <v>0</v>
      </c>
      <c r="T73" s="278">
        <f t="shared" ca="1" si="21"/>
        <v>0</v>
      </c>
      <c r="U73" s="278">
        <f t="shared" ca="1" si="21"/>
        <v>0</v>
      </c>
      <c r="V73" s="278">
        <f t="shared" ca="1" si="21"/>
        <v>0</v>
      </c>
      <c r="W73" s="278">
        <f t="shared" ca="1" si="21"/>
        <v>0</v>
      </c>
      <c r="X73" s="278">
        <f t="shared" ca="1" si="21"/>
        <v>0</v>
      </c>
      <c r="Y73" s="278">
        <f t="shared" ca="1" si="21"/>
        <v>0</v>
      </c>
      <c r="Z73" s="278">
        <f t="shared" ca="1" si="21"/>
        <v>0</v>
      </c>
      <c r="AA73" s="278">
        <f t="shared" ca="1" si="21"/>
        <v>0</v>
      </c>
      <c r="AB73" s="278">
        <f t="shared" ca="1" si="21"/>
        <v>0</v>
      </c>
      <c r="AC73" s="278">
        <f t="shared" ca="1" si="21"/>
        <v>0</v>
      </c>
      <c r="AD73" s="204" t="str">
        <f>A73</f>
        <v>Nachtdienst</v>
      </c>
      <c r="AE73" s="227"/>
      <c r="AF73" s="237">
        <f ca="1">SUM(B73:AC73)</f>
        <v>0</v>
      </c>
      <c r="AG73" s="228">
        <f ca="1">IF(OR(T.50_Vetsuisse,T.ServiceCenterIrchel),AF69,
IFERROR(SUMPRODUCT((B77:AC77&gt;0)*(B77:AC77&lt;&gt;"")),0))</f>
        <v>0</v>
      </c>
      <c r="AH73" s="223"/>
      <c r="AI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J73" s="208"/>
      <c r="AK73" s="244">
        <f ca="1">AF73+AI73</f>
        <v>0</v>
      </c>
      <c r="AL73" s="207"/>
      <c r="AM73" s="207"/>
      <c r="AN73" s="118"/>
    </row>
    <row r="74" spans="1:40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204"/>
      <c r="AE74" s="187"/>
      <c r="AF74" s="212"/>
      <c r="AG74" s="213"/>
      <c r="AH74" s="208"/>
      <c r="AI74" s="208"/>
      <c r="AJ74" s="208"/>
      <c r="AK74" s="207"/>
      <c r="AL74" s="208"/>
      <c r="AM74" s="208"/>
      <c r="AN74" s="118"/>
    </row>
    <row r="75" spans="1:40" s="38" customFormat="1" ht="16.5" hidden="1" customHeight="1" outlineLevel="1" x14ac:dyDescent="0.2">
      <c r="A75" s="214" t="s">
        <v>245</v>
      </c>
      <c r="B75" s="215">
        <f t="shared" ref="B75:AC75" ca="1" si="22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2"/>
        <v>0</v>
      </c>
      <c r="D75" s="215">
        <f t="shared" ca="1" si="22"/>
        <v>0</v>
      </c>
      <c r="E75" s="215">
        <f t="shared" ca="1" si="22"/>
        <v>0</v>
      </c>
      <c r="F75" s="215">
        <f t="shared" ca="1" si="22"/>
        <v>0</v>
      </c>
      <c r="G75" s="215">
        <f t="shared" ca="1" si="22"/>
        <v>0</v>
      </c>
      <c r="H75" s="215">
        <f t="shared" ca="1" si="22"/>
        <v>0</v>
      </c>
      <c r="I75" s="215">
        <f t="shared" ca="1" si="22"/>
        <v>0</v>
      </c>
      <c r="J75" s="215">
        <f t="shared" ca="1" si="22"/>
        <v>0</v>
      </c>
      <c r="K75" s="215">
        <f t="shared" ca="1" si="22"/>
        <v>0</v>
      </c>
      <c r="L75" s="215">
        <f t="shared" ca="1" si="22"/>
        <v>0</v>
      </c>
      <c r="M75" s="215">
        <f t="shared" ca="1" si="22"/>
        <v>0</v>
      </c>
      <c r="N75" s="215">
        <f t="shared" ca="1" si="22"/>
        <v>0</v>
      </c>
      <c r="O75" s="215">
        <f t="shared" ca="1" si="22"/>
        <v>0</v>
      </c>
      <c r="P75" s="215">
        <f t="shared" ca="1" si="22"/>
        <v>0</v>
      </c>
      <c r="Q75" s="215">
        <f t="shared" ca="1" si="22"/>
        <v>0</v>
      </c>
      <c r="R75" s="215">
        <f t="shared" ca="1" si="22"/>
        <v>0</v>
      </c>
      <c r="S75" s="215">
        <f t="shared" ca="1" si="22"/>
        <v>0</v>
      </c>
      <c r="T75" s="215">
        <f t="shared" ca="1" si="22"/>
        <v>0</v>
      </c>
      <c r="U75" s="215">
        <f t="shared" ca="1" si="22"/>
        <v>0</v>
      </c>
      <c r="V75" s="215">
        <f t="shared" ca="1" si="22"/>
        <v>0</v>
      </c>
      <c r="W75" s="215">
        <f t="shared" ca="1" si="22"/>
        <v>0</v>
      </c>
      <c r="X75" s="215">
        <f t="shared" ca="1" si="22"/>
        <v>0</v>
      </c>
      <c r="Y75" s="215">
        <f t="shared" ca="1" si="22"/>
        <v>0</v>
      </c>
      <c r="Z75" s="215">
        <f t="shared" ca="1" si="22"/>
        <v>0</v>
      </c>
      <c r="AA75" s="215">
        <f t="shared" ca="1" si="22"/>
        <v>0</v>
      </c>
      <c r="AB75" s="215">
        <f t="shared" ca="1" si="22"/>
        <v>0</v>
      </c>
      <c r="AC75" s="215">
        <f t="shared" ca="1" si="22"/>
        <v>0</v>
      </c>
      <c r="AD75" s="216" t="str">
        <f>A75</f>
        <v>Total ND Stunden heute</v>
      </c>
      <c r="AE75" s="187"/>
      <c r="AF75" s="212"/>
      <c r="AG75" s="213"/>
      <c r="AH75" s="208"/>
      <c r="AI75" s="208"/>
      <c r="AJ75" s="208"/>
      <c r="AK75" s="207"/>
      <c r="AL75" s="208"/>
      <c r="AM75" s="208"/>
      <c r="AN75" s="118"/>
    </row>
    <row r="76" spans="1:40" s="38" customFormat="1" ht="16.5" hidden="1" customHeight="1" outlineLevel="1" x14ac:dyDescent="0.2">
      <c r="A76" s="214" t="s">
        <v>246</v>
      </c>
      <c r="B76" s="224">
        <f t="shared" ref="B76:AC76" ca="1" si="23">B73-B75</f>
        <v>0</v>
      </c>
      <c r="C76" s="224">
        <f t="shared" ca="1" si="23"/>
        <v>0</v>
      </c>
      <c r="D76" s="224">
        <f t="shared" ca="1" si="23"/>
        <v>0</v>
      </c>
      <c r="E76" s="224">
        <f t="shared" ca="1" si="23"/>
        <v>0</v>
      </c>
      <c r="F76" s="224">
        <f t="shared" ca="1" si="23"/>
        <v>0</v>
      </c>
      <c r="G76" s="224">
        <f t="shared" ca="1" si="23"/>
        <v>0</v>
      </c>
      <c r="H76" s="224">
        <f t="shared" ca="1" si="23"/>
        <v>0</v>
      </c>
      <c r="I76" s="224">
        <f t="shared" ca="1" si="23"/>
        <v>0</v>
      </c>
      <c r="J76" s="224">
        <f t="shared" ca="1" si="23"/>
        <v>0</v>
      </c>
      <c r="K76" s="224">
        <f t="shared" ca="1" si="23"/>
        <v>0</v>
      </c>
      <c r="L76" s="224">
        <f t="shared" ca="1" si="23"/>
        <v>0</v>
      </c>
      <c r="M76" s="224">
        <f t="shared" ca="1" si="23"/>
        <v>0</v>
      </c>
      <c r="N76" s="224">
        <f t="shared" ca="1" si="23"/>
        <v>0</v>
      </c>
      <c r="O76" s="224">
        <f t="shared" ca="1" si="23"/>
        <v>0</v>
      </c>
      <c r="P76" s="224">
        <f t="shared" ca="1" si="23"/>
        <v>0</v>
      </c>
      <c r="Q76" s="224">
        <f t="shared" ca="1" si="23"/>
        <v>0</v>
      </c>
      <c r="R76" s="224">
        <f t="shared" ca="1" si="23"/>
        <v>0</v>
      </c>
      <c r="S76" s="224">
        <f t="shared" ca="1" si="23"/>
        <v>0</v>
      </c>
      <c r="T76" s="224">
        <f t="shared" ca="1" si="23"/>
        <v>0</v>
      </c>
      <c r="U76" s="224">
        <f t="shared" ca="1" si="23"/>
        <v>0</v>
      </c>
      <c r="V76" s="224">
        <f t="shared" ca="1" si="23"/>
        <v>0</v>
      </c>
      <c r="W76" s="224">
        <f t="shared" ca="1" si="23"/>
        <v>0</v>
      </c>
      <c r="X76" s="224">
        <f t="shared" ca="1" si="23"/>
        <v>0</v>
      </c>
      <c r="Y76" s="224">
        <f t="shared" ca="1" si="23"/>
        <v>0</v>
      </c>
      <c r="Z76" s="224">
        <f t="shared" ca="1" si="23"/>
        <v>0</v>
      </c>
      <c r="AA76" s="224">
        <f t="shared" ca="1" si="23"/>
        <v>0</v>
      </c>
      <c r="AB76" s="224">
        <f t="shared" ca="1" si="23"/>
        <v>0</v>
      </c>
      <c r="AC76" s="224">
        <f t="shared" ca="1" si="23"/>
        <v>0</v>
      </c>
      <c r="AD76" s="216" t="str">
        <f>A76</f>
        <v>Total ND Stunden gestern</v>
      </c>
      <c r="AE76" s="187"/>
      <c r="AF76" s="212"/>
      <c r="AG76" s="213"/>
      <c r="AH76" s="208"/>
      <c r="AI76" s="208"/>
      <c r="AJ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K76" s="207"/>
      <c r="AL76" s="208"/>
      <c r="AM76" s="208"/>
      <c r="AN76" s="118"/>
    </row>
    <row r="77" spans="1:40" s="38" customFormat="1" ht="16.5" hidden="1" customHeight="1" outlineLevel="1" x14ac:dyDescent="0.2">
      <c r="A77" s="214" t="s">
        <v>247</v>
      </c>
      <c r="B77" s="215">
        <f t="shared" ref="B77:AC77" ca="1" si="24">B75+IF(B$10=EOMONTH(B$10,0),$AJ76,OFFSET(B76,0,1))</f>
        <v>0</v>
      </c>
      <c r="C77" s="215">
        <f t="shared" ca="1" si="24"/>
        <v>0</v>
      </c>
      <c r="D77" s="215">
        <f t="shared" ca="1" si="24"/>
        <v>0</v>
      </c>
      <c r="E77" s="215">
        <f t="shared" ca="1" si="24"/>
        <v>0</v>
      </c>
      <c r="F77" s="215">
        <f t="shared" ca="1" si="24"/>
        <v>0</v>
      </c>
      <c r="G77" s="215">
        <f t="shared" ca="1" si="24"/>
        <v>0</v>
      </c>
      <c r="H77" s="215">
        <f t="shared" ca="1" si="24"/>
        <v>0</v>
      </c>
      <c r="I77" s="215">
        <f t="shared" ca="1" si="24"/>
        <v>0</v>
      </c>
      <c r="J77" s="215">
        <f t="shared" ca="1" si="24"/>
        <v>0</v>
      </c>
      <c r="K77" s="215">
        <f t="shared" ca="1" si="24"/>
        <v>0</v>
      </c>
      <c r="L77" s="215">
        <f t="shared" ca="1" si="24"/>
        <v>0</v>
      </c>
      <c r="M77" s="215">
        <f t="shared" ca="1" si="24"/>
        <v>0</v>
      </c>
      <c r="N77" s="215">
        <f t="shared" ca="1" si="24"/>
        <v>0</v>
      </c>
      <c r="O77" s="215">
        <f t="shared" ca="1" si="24"/>
        <v>0</v>
      </c>
      <c r="P77" s="215">
        <f t="shared" ca="1" si="24"/>
        <v>0</v>
      </c>
      <c r="Q77" s="215">
        <f t="shared" ca="1" si="24"/>
        <v>0</v>
      </c>
      <c r="R77" s="215">
        <f t="shared" ca="1" si="24"/>
        <v>0</v>
      </c>
      <c r="S77" s="215">
        <f t="shared" ca="1" si="24"/>
        <v>0</v>
      </c>
      <c r="T77" s="215">
        <f t="shared" ca="1" si="24"/>
        <v>0</v>
      </c>
      <c r="U77" s="215">
        <f t="shared" ca="1" si="24"/>
        <v>0</v>
      </c>
      <c r="V77" s="215">
        <f t="shared" ca="1" si="24"/>
        <v>0</v>
      </c>
      <c r="W77" s="215">
        <f t="shared" ca="1" si="24"/>
        <v>0</v>
      </c>
      <c r="X77" s="215">
        <f t="shared" ca="1" si="24"/>
        <v>0</v>
      </c>
      <c r="Y77" s="215">
        <f t="shared" ca="1" si="24"/>
        <v>0</v>
      </c>
      <c r="Z77" s="215">
        <f t="shared" ca="1" si="24"/>
        <v>0</v>
      </c>
      <c r="AA77" s="215">
        <f t="shared" ca="1" si="24"/>
        <v>0</v>
      </c>
      <c r="AB77" s="215">
        <f t="shared" ca="1" si="24"/>
        <v>0</v>
      </c>
      <c r="AC77" s="215">
        <f t="shared" ca="1" si="24"/>
        <v>0</v>
      </c>
      <c r="AD77" s="216" t="str">
        <f>A77</f>
        <v>Total ND Stunden</v>
      </c>
      <c r="AE77" s="217"/>
      <c r="AF77" s="218">
        <f ca="1">SUM(B77:AC77)</f>
        <v>0</v>
      </c>
      <c r="AG77" s="213"/>
      <c r="AH77" s="208"/>
      <c r="AI77" s="208"/>
      <c r="AJ77" s="208"/>
      <c r="AK77" s="207"/>
      <c r="AL77" s="208"/>
      <c r="AM77" s="208"/>
      <c r="AN77" s="118"/>
    </row>
    <row r="78" spans="1:40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04"/>
      <c r="AE78" s="232"/>
      <c r="AF78" s="221"/>
      <c r="AG78" s="213"/>
      <c r="AH78" s="208"/>
      <c r="AI78" s="208"/>
      <c r="AJ78" s="208"/>
      <c r="AK78" s="207"/>
      <c r="AL78" s="208"/>
      <c r="AM78" s="208"/>
      <c r="AN78" s="118"/>
    </row>
    <row r="79" spans="1:40" s="38" customFormat="1" ht="15" customHeight="1" outlineLevel="1" x14ac:dyDescent="0.2">
      <c r="A79" s="211" t="s">
        <v>194</v>
      </c>
      <c r="B79" s="278">
        <f t="shared" ref="B79:AC79" ca="1" si="25">IF(AND(T.50_Vetsuisse,B70&gt;24),ROUND(B73*T.50_VetsuisseZZSND*1440,0)/1440,
IF(AND(T.ServiceCenterIrchel,B69&gt;0,B77&gt;=ROUND(1/24*8*1440,0)/1440),ROUND(B77*T.ServiceCenterIrchelZZSND*1440,0)/1440,
IF(AND(T.MedizinischeMikrobiologie,B69&gt;0,B77+IF(B$10=EOMONTH(B$10,0),$AJ81,OFFSET(B81,0,1))&gt;=ROUND(1/24*8*1440,0)/1440),ROUND(B77*T.MedizinischeMikrobiologieZZSND*1440,0)/1440,)))</f>
        <v>0</v>
      </c>
      <c r="C79" s="278">
        <f t="shared" ca="1" si="25"/>
        <v>0</v>
      </c>
      <c r="D79" s="278">
        <f t="shared" ca="1" si="25"/>
        <v>0</v>
      </c>
      <c r="E79" s="278">
        <f t="shared" ca="1" si="25"/>
        <v>0</v>
      </c>
      <c r="F79" s="278">
        <f t="shared" ca="1" si="25"/>
        <v>0</v>
      </c>
      <c r="G79" s="278">
        <f t="shared" ca="1" si="25"/>
        <v>0</v>
      </c>
      <c r="H79" s="278">
        <f t="shared" ca="1" si="25"/>
        <v>0</v>
      </c>
      <c r="I79" s="278">
        <f t="shared" ca="1" si="25"/>
        <v>0</v>
      </c>
      <c r="J79" s="278">
        <f t="shared" ca="1" si="25"/>
        <v>0</v>
      </c>
      <c r="K79" s="278">
        <f t="shared" ca="1" si="25"/>
        <v>0</v>
      </c>
      <c r="L79" s="278">
        <f t="shared" ca="1" si="25"/>
        <v>0</v>
      </c>
      <c r="M79" s="278">
        <f t="shared" ca="1" si="25"/>
        <v>0</v>
      </c>
      <c r="N79" s="278">
        <f t="shared" ca="1" si="25"/>
        <v>0</v>
      </c>
      <c r="O79" s="278">
        <f t="shared" ca="1" si="25"/>
        <v>0</v>
      </c>
      <c r="P79" s="278">
        <f t="shared" ca="1" si="25"/>
        <v>0</v>
      </c>
      <c r="Q79" s="278">
        <f t="shared" ca="1" si="25"/>
        <v>0</v>
      </c>
      <c r="R79" s="278">
        <f t="shared" ca="1" si="25"/>
        <v>0</v>
      </c>
      <c r="S79" s="278">
        <f t="shared" ca="1" si="25"/>
        <v>0</v>
      </c>
      <c r="T79" s="278">
        <f t="shared" ca="1" si="25"/>
        <v>0</v>
      </c>
      <c r="U79" s="278">
        <f t="shared" ca="1" si="25"/>
        <v>0</v>
      </c>
      <c r="V79" s="278">
        <f t="shared" ca="1" si="25"/>
        <v>0</v>
      </c>
      <c r="W79" s="278">
        <f t="shared" ca="1" si="25"/>
        <v>0</v>
      </c>
      <c r="X79" s="278">
        <f t="shared" ca="1" si="25"/>
        <v>0</v>
      </c>
      <c r="Y79" s="278">
        <f t="shared" ca="1" si="25"/>
        <v>0</v>
      </c>
      <c r="Z79" s="278">
        <f t="shared" ca="1" si="25"/>
        <v>0</v>
      </c>
      <c r="AA79" s="278">
        <f t="shared" ca="1" si="25"/>
        <v>0</v>
      </c>
      <c r="AB79" s="278">
        <f t="shared" ca="1" si="25"/>
        <v>0</v>
      </c>
      <c r="AC79" s="278">
        <f t="shared" ca="1" si="25"/>
        <v>0</v>
      </c>
      <c r="AD79" s="204" t="str">
        <f>A79</f>
        <v>Zeitzuschlag Nachtdienst</v>
      </c>
      <c r="AE79" s="272"/>
      <c r="AF79" s="237">
        <f ca="1">SUM(B79:AC79)</f>
        <v>0</v>
      </c>
      <c r="AG79" s="259"/>
      <c r="AH79" s="223"/>
      <c r="AI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J79" s="208"/>
      <c r="AK79" s="244">
        <f ca="1">AF79+AI79-AF71</f>
        <v>0</v>
      </c>
      <c r="AL79" s="244">
        <f ca="1">OFFSET(Jahr.ZZSNDSaldo,-13+MONTH(Monat.Tag1),0,1,1)</f>
        <v>0</v>
      </c>
      <c r="AM79" s="244">
        <f ca="1">Jahr.ZZSNDSaldo</f>
        <v>0</v>
      </c>
      <c r="AN79" s="118"/>
    </row>
    <row r="80" spans="1:40" s="38" customFormat="1" ht="15" customHeight="1" outlineLevel="1" x14ac:dyDescent="0.2">
      <c r="A80" s="211" t="s">
        <v>196</v>
      </c>
      <c r="B80" s="278" t="str">
        <f t="shared" ref="B80:AC80" si="26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6"/>
        <v/>
      </c>
      <c r="D80" s="278" t="str">
        <f t="shared" si="26"/>
        <v/>
      </c>
      <c r="E80" s="278" t="str">
        <f t="shared" si="26"/>
        <v/>
      </c>
      <c r="F80" s="278" t="str">
        <f t="shared" si="26"/>
        <v/>
      </c>
      <c r="G80" s="278" t="str">
        <f t="shared" si="26"/>
        <v/>
      </c>
      <c r="H80" s="278" t="str">
        <f t="shared" si="26"/>
        <v/>
      </c>
      <c r="I80" s="278" t="str">
        <f t="shared" si="26"/>
        <v/>
      </c>
      <c r="J80" s="278" t="str">
        <f t="shared" si="26"/>
        <v/>
      </c>
      <c r="K80" s="278" t="str">
        <f t="shared" si="26"/>
        <v/>
      </c>
      <c r="L80" s="278" t="str">
        <f t="shared" si="26"/>
        <v/>
      </c>
      <c r="M80" s="278" t="str">
        <f t="shared" si="26"/>
        <v/>
      </c>
      <c r="N80" s="278" t="str">
        <f t="shared" si="26"/>
        <v/>
      </c>
      <c r="O80" s="278" t="str">
        <f t="shared" si="26"/>
        <v/>
      </c>
      <c r="P80" s="278" t="str">
        <f t="shared" si="26"/>
        <v/>
      </c>
      <c r="Q80" s="278" t="str">
        <f t="shared" si="26"/>
        <v/>
      </c>
      <c r="R80" s="278" t="str">
        <f t="shared" si="26"/>
        <v/>
      </c>
      <c r="S80" s="278" t="str">
        <f t="shared" si="26"/>
        <v/>
      </c>
      <c r="T80" s="278" t="str">
        <f t="shared" si="26"/>
        <v/>
      </c>
      <c r="U80" s="278" t="str">
        <f t="shared" si="26"/>
        <v/>
      </c>
      <c r="V80" s="278" t="str">
        <f t="shared" si="26"/>
        <v/>
      </c>
      <c r="W80" s="278" t="str">
        <f t="shared" si="26"/>
        <v/>
      </c>
      <c r="X80" s="278" t="str">
        <f t="shared" si="26"/>
        <v/>
      </c>
      <c r="Y80" s="278" t="str">
        <f t="shared" si="26"/>
        <v/>
      </c>
      <c r="Z80" s="278" t="str">
        <f t="shared" si="26"/>
        <v/>
      </c>
      <c r="AA80" s="278" t="str">
        <f t="shared" si="26"/>
        <v/>
      </c>
      <c r="AB80" s="278" t="str">
        <f t="shared" si="26"/>
        <v/>
      </c>
      <c r="AC80" s="278" t="str">
        <f t="shared" si="26"/>
        <v/>
      </c>
      <c r="AD80" s="204" t="str">
        <f>A80</f>
        <v>Abendarbeit</v>
      </c>
      <c r="AE80" s="272"/>
      <c r="AF80" s="237">
        <f>SUM(B80:AC80)</f>
        <v>0</v>
      </c>
      <c r="AG80" s="259"/>
      <c r="AH80" s="223"/>
      <c r="AI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J80" s="208"/>
      <c r="AK80" s="244">
        <f ca="1">AF80+AI80</f>
        <v>0</v>
      </c>
      <c r="AL80" s="207"/>
      <c r="AM80" s="207"/>
      <c r="AN80" s="118"/>
    </row>
    <row r="81" spans="1:40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04" t="str">
        <f>A81</f>
        <v>Bereitschaftsdienst</v>
      </c>
      <c r="AE81" s="272"/>
      <c r="AF81" s="237">
        <f ca="1">SUM(B81:AC81)</f>
        <v>0</v>
      </c>
      <c r="AG81" s="259"/>
      <c r="AH81" s="223"/>
      <c r="AI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J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K81" s="244">
        <f ca="1">AF81+AI81</f>
        <v>0</v>
      </c>
      <c r="AL81" s="207"/>
      <c r="AM81" s="207"/>
      <c r="AN81" s="118"/>
    </row>
    <row r="82" spans="1:40" s="38" customFormat="1" ht="15" customHeight="1" outlineLevel="1" x14ac:dyDescent="0.2">
      <c r="A82" s="211" t="s">
        <v>79</v>
      </c>
      <c r="B82" s="278">
        <f t="shared" ref="B82:AC82" ca="1" si="27">IF(B$12=0,"",IF(OR(WEEKDAY(B$10,2)&gt;5,B$11=0),
IF(T.50_NoVetsuisse,B45,
IF(OR(T.50_Vetsuisse,T.ServiceCenterIrchel,T.MedizinischeMikrobiologie),IF(B23-B73=0,"",B23-B73),
B60)),))</f>
        <v>0</v>
      </c>
      <c r="C82" s="278">
        <f t="shared" ca="1" si="27"/>
        <v>0</v>
      </c>
      <c r="D82" s="279">
        <f t="shared" ca="1" si="27"/>
        <v>0</v>
      </c>
      <c r="E82" s="278">
        <f t="shared" ca="1" si="27"/>
        <v>0</v>
      </c>
      <c r="F82" s="279" t="str">
        <f t="shared" ca="1" si="27"/>
        <v/>
      </c>
      <c r="G82" s="279" t="str">
        <f t="shared" ca="1" si="27"/>
        <v/>
      </c>
      <c r="H82" s="279">
        <f t="shared" ca="1" si="27"/>
        <v>0</v>
      </c>
      <c r="I82" s="279">
        <f t="shared" ca="1" si="27"/>
        <v>0</v>
      </c>
      <c r="J82" s="278">
        <f t="shared" ca="1" si="27"/>
        <v>0</v>
      </c>
      <c r="K82" s="279">
        <f t="shared" ca="1" si="27"/>
        <v>0</v>
      </c>
      <c r="L82" s="278">
        <f t="shared" ca="1" si="27"/>
        <v>0</v>
      </c>
      <c r="M82" s="279" t="str">
        <f t="shared" ca="1" si="27"/>
        <v/>
      </c>
      <c r="N82" s="279" t="str">
        <f t="shared" ca="1" si="27"/>
        <v/>
      </c>
      <c r="O82" s="279">
        <f t="shared" ca="1" si="27"/>
        <v>0</v>
      </c>
      <c r="P82" s="279">
        <f t="shared" ca="1" si="27"/>
        <v>0</v>
      </c>
      <c r="Q82" s="278">
        <f t="shared" ca="1" si="27"/>
        <v>0</v>
      </c>
      <c r="R82" s="279">
        <f t="shared" ca="1" si="27"/>
        <v>0</v>
      </c>
      <c r="S82" s="278">
        <f t="shared" ca="1" si="27"/>
        <v>0</v>
      </c>
      <c r="T82" s="278" t="str">
        <f t="shared" ca="1" si="27"/>
        <v/>
      </c>
      <c r="U82" s="279" t="str">
        <f t="shared" ca="1" si="27"/>
        <v/>
      </c>
      <c r="V82" s="279">
        <f t="shared" ca="1" si="27"/>
        <v>0</v>
      </c>
      <c r="W82" s="279">
        <f t="shared" ca="1" si="27"/>
        <v>0</v>
      </c>
      <c r="X82" s="278">
        <f t="shared" ca="1" si="27"/>
        <v>0</v>
      </c>
      <c r="Y82" s="279">
        <f t="shared" ca="1" si="27"/>
        <v>0</v>
      </c>
      <c r="Z82" s="280">
        <f t="shared" ca="1" si="27"/>
        <v>0</v>
      </c>
      <c r="AA82" s="279" t="str">
        <f t="shared" ca="1" si="27"/>
        <v/>
      </c>
      <c r="AB82" s="279" t="str">
        <f t="shared" ca="1" si="27"/>
        <v/>
      </c>
      <c r="AC82" s="279">
        <f t="shared" ca="1" si="27"/>
        <v>0</v>
      </c>
      <c r="AD82" s="204" t="str">
        <f>A82</f>
        <v>Samstag-/Sonntagdienst</v>
      </c>
      <c r="AE82" s="227"/>
      <c r="AF82" s="237">
        <f ca="1">SUM(B82:AC82)</f>
        <v>0</v>
      </c>
      <c r="AG82" s="228">
        <f ca="1">IFERROR(SUMPRODUCT((B82:AC82&gt;0)*(B82:AC82&lt;&gt;"")),0)</f>
        <v>0</v>
      </c>
      <c r="AH82" s="223"/>
      <c r="AI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J82" s="208"/>
      <c r="AK82" s="244">
        <f ca="1">AF82+AI82</f>
        <v>0</v>
      </c>
      <c r="AL82" s="207"/>
      <c r="AM82" s="207"/>
      <c r="AN82" s="118"/>
    </row>
    <row r="83" spans="1:40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04"/>
      <c r="AE83" s="227"/>
      <c r="AF83" s="223"/>
      <c r="AG83" s="276"/>
      <c r="AH83" s="260"/>
      <c r="AI83" s="260"/>
      <c r="AJ83" s="208"/>
      <c r="AK83" s="277"/>
      <c r="AL83" s="281"/>
      <c r="AM83" s="281"/>
      <c r="AN83" s="118"/>
    </row>
    <row r="84" spans="1:40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204" t="str">
        <f>A84 &amp; IFERROR(IF(AND(MONTH(Monat.Tag1)=6,EB.Jahr&gt;2020),IF(SUM(Jahresabrechnung!AC15:AC20)&lt;EB.FerienBer,IF(EB.Sprache="EN"," (Balance PY "," (Saldo VJ ") &amp; " &gt; 0!)",""),""),"")</f>
        <v>Ferien</v>
      </c>
      <c r="AE84" s="217"/>
      <c r="AF84" s="237">
        <f>SUM(B84:AC84)</f>
        <v>0</v>
      </c>
      <c r="AG84" s="259"/>
      <c r="AH84" s="243">
        <f ca="1">OFFSET(EB.MFAStd.Knoten,MONTH(Monat.Tag1),0,1,1)</f>
        <v>0</v>
      </c>
      <c r="AI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J84" s="208"/>
      <c r="AK84" s="244">
        <f ca="1">ROUND(IF(AE85="+",(AH84+AI84-Monat.Ferien.Total+AF85),(AH84+AI84-Monat.Ferien.Total-AF85))*1440,0)/1440</f>
        <v>0</v>
      </c>
      <c r="AL84" s="244">
        <f ca="1">SUM(Jahresabrechnung!AC12:AC13)-SUM(OFFSET(Jahresabrechnung!AC15,0,0,MONTH(Monat.Tag1),1))</f>
        <v>0</v>
      </c>
      <c r="AM84" s="244">
        <f ca="1">J.FerienUE.Total</f>
        <v>0</v>
      </c>
      <c r="AN84" s="118"/>
    </row>
    <row r="85" spans="1:40" s="38" customFormat="1" ht="15" customHeight="1" x14ac:dyDescent="0.2">
      <c r="A85" s="219"/>
      <c r="B85" s="435">
        <f t="shared" ref="B85:AC85" ca="1" si="28">IF(DAY(B$10)=1,Monat.Ferien.JS+Monat.Ferien.Total-B84,A85-B84)</f>
        <v>0</v>
      </c>
      <c r="C85" s="435">
        <f t="shared" ca="1" si="28"/>
        <v>0</v>
      </c>
      <c r="D85" s="435">
        <f t="shared" ca="1" si="28"/>
        <v>0</v>
      </c>
      <c r="E85" s="435">
        <f t="shared" ca="1" si="28"/>
        <v>0</v>
      </c>
      <c r="F85" s="435">
        <f t="shared" ca="1" si="28"/>
        <v>0</v>
      </c>
      <c r="G85" s="435">
        <f t="shared" ca="1" si="28"/>
        <v>0</v>
      </c>
      <c r="H85" s="435">
        <f t="shared" ca="1" si="28"/>
        <v>0</v>
      </c>
      <c r="I85" s="435">
        <f t="shared" ca="1" si="28"/>
        <v>0</v>
      </c>
      <c r="J85" s="435">
        <f t="shared" ca="1" si="28"/>
        <v>0</v>
      </c>
      <c r="K85" s="435">
        <f t="shared" ca="1" si="28"/>
        <v>0</v>
      </c>
      <c r="L85" s="435">
        <f t="shared" ca="1" si="28"/>
        <v>0</v>
      </c>
      <c r="M85" s="435">
        <f t="shared" ca="1" si="28"/>
        <v>0</v>
      </c>
      <c r="N85" s="435">
        <f t="shared" ca="1" si="28"/>
        <v>0</v>
      </c>
      <c r="O85" s="435">
        <f t="shared" ca="1" si="28"/>
        <v>0</v>
      </c>
      <c r="P85" s="435">
        <f t="shared" ca="1" si="28"/>
        <v>0</v>
      </c>
      <c r="Q85" s="435">
        <f t="shared" ca="1" si="28"/>
        <v>0</v>
      </c>
      <c r="R85" s="435">
        <f t="shared" ca="1" si="28"/>
        <v>0</v>
      </c>
      <c r="S85" s="435">
        <f t="shared" ca="1" si="28"/>
        <v>0</v>
      </c>
      <c r="T85" s="435">
        <f t="shared" ca="1" si="28"/>
        <v>0</v>
      </c>
      <c r="U85" s="435">
        <f t="shared" ca="1" si="28"/>
        <v>0</v>
      </c>
      <c r="V85" s="435">
        <f t="shared" ca="1" si="28"/>
        <v>0</v>
      </c>
      <c r="W85" s="435">
        <f t="shared" ca="1" si="28"/>
        <v>0</v>
      </c>
      <c r="X85" s="435">
        <f t="shared" ca="1" si="28"/>
        <v>0</v>
      </c>
      <c r="Y85" s="435">
        <f t="shared" ca="1" si="28"/>
        <v>0</v>
      </c>
      <c r="Z85" s="435">
        <f t="shared" ca="1" si="28"/>
        <v>0</v>
      </c>
      <c r="AA85" s="435">
        <f t="shared" ca="1" si="28"/>
        <v>0</v>
      </c>
      <c r="AB85" s="435">
        <f t="shared" ca="1" si="28"/>
        <v>0</v>
      </c>
      <c r="AC85" s="435">
        <f t="shared" ca="1" si="28"/>
        <v>0</v>
      </c>
      <c r="AD85" s="211" t="s">
        <v>68</v>
      </c>
      <c r="AE85" s="45" t="s">
        <v>27</v>
      </c>
      <c r="AF85" s="48"/>
      <c r="AG85" s="268"/>
      <c r="AH85" s="208"/>
      <c r="AI85" s="208"/>
      <c r="AJ85" s="208"/>
      <c r="AK85" s="207"/>
      <c r="AL85" s="282"/>
      <c r="AM85" s="282"/>
      <c r="AN85" s="118"/>
    </row>
    <row r="86" spans="1:40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204" t="str">
        <f t="shared" ref="AD86:AD95" si="29">A86</f>
        <v>Arztbesuch</v>
      </c>
      <c r="AE86" s="217"/>
      <c r="AF86" s="237">
        <f t="shared" ref="AF86:AF95" si="30">SUM(B86:AC86)</f>
        <v>0</v>
      </c>
      <c r="AG86" s="259"/>
      <c r="AH86" s="260"/>
      <c r="AI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J86" s="208"/>
      <c r="AK86" s="244">
        <f t="shared" ref="AK86:AK94" ca="1" si="31">AF86+AI86</f>
        <v>0</v>
      </c>
      <c r="AL86" s="207"/>
      <c r="AM86" s="207"/>
      <c r="AN86" s="118"/>
    </row>
    <row r="87" spans="1:40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204" t="str">
        <f t="shared" si="29"/>
        <v>Krankheit</v>
      </c>
      <c r="AE87" s="217"/>
      <c r="AF87" s="237">
        <f t="shared" si="30"/>
        <v>0</v>
      </c>
      <c r="AG87" s="259"/>
      <c r="AH87" s="260"/>
      <c r="AI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J87" s="208"/>
      <c r="AK87" s="244">
        <f t="shared" ca="1" si="31"/>
        <v>0</v>
      </c>
      <c r="AL87" s="207"/>
      <c r="AM87" s="207"/>
      <c r="AN87" s="118"/>
    </row>
    <row r="88" spans="1:40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204" t="str">
        <f t="shared" si="29"/>
        <v>Berufsunfall</v>
      </c>
      <c r="AE88" s="217"/>
      <c r="AF88" s="237">
        <f t="shared" si="30"/>
        <v>0</v>
      </c>
      <c r="AG88" s="259"/>
      <c r="AH88" s="260"/>
      <c r="AI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J88" s="208"/>
      <c r="AK88" s="244">
        <f t="shared" ca="1" si="31"/>
        <v>0</v>
      </c>
      <c r="AL88" s="207"/>
      <c r="AM88" s="207"/>
      <c r="AN88" s="118"/>
    </row>
    <row r="89" spans="1:40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204" t="str">
        <f t="shared" si="29"/>
        <v>Nichtberufsunfall</v>
      </c>
      <c r="AE89" s="217"/>
      <c r="AF89" s="237">
        <f t="shared" si="30"/>
        <v>0</v>
      </c>
      <c r="AG89" s="259"/>
      <c r="AH89" s="260"/>
      <c r="AI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J89" s="208"/>
      <c r="AK89" s="244">
        <f t="shared" ca="1" si="31"/>
        <v>0</v>
      </c>
      <c r="AL89" s="207"/>
      <c r="AM89" s="207"/>
      <c r="AN89" s="118"/>
    </row>
    <row r="90" spans="1:40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204" t="str">
        <f t="shared" si="29"/>
        <v>Militär/Zivilschutz</v>
      </c>
      <c r="AE90" s="217"/>
      <c r="AF90" s="237">
        <f t="shared" si="30"/>
        <v>0</v>
      </c>
      <c r="AG90" s="259"/>
      <c r="AH90" s="260"/>
      <c r="AI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J90" s="208"/>
      <c r="AK90" s="244">
        <f t="shared" ca="1" si="31"/>
        <v>0</v>
      </c>
      <c r="AL90" s="207"/>
      <c r="AM90" s="207"/>
      <c r="AN90" s="118"/>
    </row>
    <row r="91" spans="1:40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204" t="str">
        <f t="shared" si="29"/>
        <v>Weiterbildung</v>
      </c>
      <c r="AE91" s="217"/>
      <c r="AF91" s="237">
        <f t="shared" si="30"/>
        <v>0</v>
      </c>
      <c r="AG91" s="259"/>
      <c r="AH91" s="260"/>
      <c r="AI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J91" s="208"/>
      <c r="AK91" s="244">
        <f t="shared" ca="1" si="31"/>
        <v>0</v>
      </c>
      <c r="AL91" s="207"/>
      <c r="AM91" s="207"/>
      <c r="AN91" s="118"/>
    </row>
    <row r="92" spans="1:40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204" t="str">
        <f t="shared" si="29"/>
        <v>Besoldeter Urlaub</v>
      </c>
      <c r="AE92" s="217"/>
      <c r="AF92" s="237">
        <f t="shared" si="30"/>
        <v>0</v>
      </c>
      <c r="AG92" s="259"/>
      <c r="AH92" s="260"/>
      <c r="AI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J92" s="208"/>
      <c r="AK92" s="244">
        <f t="shared" ca="1" si="31"/>
        <v>0</v>
      </c>
      <c r="AL92" s="207"/>
      <c r="AM92" s="207"/>
      <c r="AN92" s="118"/>
    </row>
    <row r="93" spans="1:40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204" t="str">
        <f t="shared" si="29"/>
        <v>Unbesoldeter Urlaub</v>
      </c>
      <c r="AE93" s="217"/>
      <c r="AF93" s="237">
        <f t="shared" si="30"/>
        <v>0</v>
      </c>
      <c r="AG93" s="259"/>
      <c r="AH93" s="260"/>
      <c r="AI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J93" s="208"/>
      <c r="AK93" s="244">
        <f t="shared" ca="1" si="31"/>
        <v>0</v>
      </c>
      <c r="AL93" s="207"/>
      <c r="AM93" s="207"/>
      <c r="AN93" s="118"/>
    </row>
    <row r="94" spans="1:40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204" t="str">
        <f t="shared" si="29"/>
        <v>Nebenbeschäftigung</v>
      </c>
      <c r="AE94" s="217"/>
      <c r="AF94" s="237">
        <f t="shared" si="30"/>
        <v>0</v>
      </c>
      <c r="AG94" s="259"/>
      <c r="AH94" s="260"/>
      <c r="AI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J94" s="208"/>
      <c r="AK94" s="244">
        <f t="shared" ca="1" si="31"/>
        <v>0</v>
      </c>
      <c r="AL94" s="207"/>
      <c r="AM94" s="207"/>
      <c r="AN94" s="118"/>
    </row>
    <row r="95" spans="1:40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204" t="str">
        <f t="shared" si="29"/>
        <v>DAG</v>
      </c>
      <c r="AE95" s="217"/>
      <c r="AF95" s="237">
        <f t="shared" si="30"/>
        <v>0</v>
      </c>
      <c r="AG95" s="259"/>
      <c r="AH95" s="260"/>
      <c r="AI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J95" s="208"/>
      <c r="AK95" s="244">
        <f ca="1">AI95-AF95</f>
        <v>0</v>
      </c>
      <c r="AL95" s="207"/>
      <c r="AM95" s="207"/>
      <c r="AN95" s="118"/>
    </row>
    <row r="96" spans="1:40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04"/>
      <c r="AE96" s="227"/>
      <c r="AF96" s="223"/>
      <c r="AG96" s="276"/>
      <c r="AH96" s="260"/>
      <c r="AI96" s="260"/>
      <c r="AJ96" s="208"/>
      <c r="AK96" s="277"/>
      <c r="AL96" s="212"/>
      <c r="AM96" s="212"/>
      <c r="AN96" s="118"/>
    </row>
    <row r="97" spans="1:40" s="38" customFormat="1" ht="15" customHeight="1" x14ac:dyDescent="0.2">
      <c r="A97" s="214" t="str">
        <f t="shared" ref="A97:A111" ca="1" si="32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204" t="str">
        <f t="shared" ref="AD97:AD112" ca="1" si="33">A97</f>
        <v/>
      </c>
      <c r="AE97" s="232"/>
      <c r="AF97" s="283">
        <f t="shared" ref="AF97:AF112" si="34">SUM(B97:AC97)</f>
        <v>0</v>
      </c>
      <c r="AG97" s="259"/>
      <c r="AH97" s="223"/>
      <c r="AI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J97" s="208"/>
      <c r="AK97" s="244">
        <f t="shared" ref="AK97:AK112" ca="1" si="35">AF97+AI97</f>
        <v>0</v>
      </c>
      <c r="AL97" s="207"/>
      <c r="AM97" s="207"/>
      <c r="AN97" s="118"/>
    </row>
    <row r="98" spans="1:40" s="38" customFormat="1" ht="15" customHeight="1" x14ac:dyDescent="0.2">
      <c r="A98" s="214" t="str">
        <f t="shared" ca="1" si="32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204" t="str">
        <f t="shared" ca="1" si="33"/>
        <v/>
      </c>
      <c r="AE98" s="217"/>
      <c r="AF98" s="237">
        <f t="shared" si="34"/>
        <v>0</v>
      </c>
      <c r="AG98" s="259"/>
      <c r="AH98" s="223"/>
      <c r="AI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J98" s="208"/>
      <c r="AK98" s="244">
        <f t="shared" ca="1" si="35"/>
        <v>0</v>
      </c>
      <c r="AL98" s="207"/>
      <c r="AM98" s="207"/>
      <c r="AN98" s="118"/>
    </row>
    <row r="99" spans="1:40" s="38" customFormat="1" ht="15" customHeight="1" x14ac:dyDescent="0.2">
      <c r="A99" s="214" t="str">
        <f t="shared" ca="1" si="32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204" t="str">
        <f t="shared" ca="1" si="33"/>
        <v/>
      </c>
      <c r="AE99" s="284"/>
      <c r="AF99" s="237">
        <f t="shared" si="34"/>
        <v>0</v>
      </c>
      <c r="AG99" s="259"/>
      <c r="AH99" s="223"/>
      <c r="AI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J99" s="208"/>
      <c r="AK99" s="244">
        <f t="shared" ca="1" si="35"/>
        <v>0</v>
      </c>
      <c r="AL99" s="207"/>
      <c r="AM99" s="207"/>
      <c r="AN99" s="118"/>
    </row>
    <row r="100" spans="1:40" s="38" customFormat="1" ht="15" customHeight="1" x14ac:dyDescent="0.2">
      <c r="A100" s="214" t="str">
        <f t="shared" ca="1" si="32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204" t="str">
        <f t="shared" ca="1" si="33"/>
        <v/>
      </c>
      <c r="AE100" s="227"/>
      <c r="AF100" s="237">
        <f t="shared" si="34"/>
        <v>0</v>
      </c>
      <c r="AG100" s="259"/>
      <c r="AH100" s="223"/>
      <c r="AI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J100" s="208"/>
      <c r="AK100" s="244">
        <f t="shared" ca="1" si="35"/>
        <v>0</v>
      </c>
      <c r="AL100" s="207"/>
      <c r="AM100" s="207"/>
      <c r="AN100" s="118"/>
    </row>
    <row r="101" spans="1:40" s="38" customFormat="1" ht="15" customHeight="1" x14ac:dyDescent="0.2">
      <c r="A101" s="214" t="str">
        <f t="shared" ca="1" si="32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204" t="str">
        <f t="shared" ca="1" si="33"/>
        <v/>
      </c>
      <c r="AE101" s="217"/>
      <c r="AF101" s="237">
        <f t="shared" si="34"/>
        <v>0</v>
      </c>
      <c r="AG101" s="259"/>
      <c r="AH101" s="223"/>
      <c r="AI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J101" s="208"/>
      <c r="AK101" s="244">
        <f t="shared" ca="1" si="35"/>
        <v>0</v>
      </c>
      <c r="AL101" s="207"/>
      <c r="AM101" s="207"/>
      <c r="AN101" s="118"/>
    </row>
    <row r="102" spans="1:40" s="38" customFormat="1" ht="15" hidden="1" customHeight="1" outlineLevel="1" x14ac:dyDescent="0.2">
      <c r="A102" s="214" t="str">
        <f t="shared" ca="1" si="32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204" t="str">
        <f t="shared" ca="1" si="33"/>
        <v/>
      </c>
      <c r="AE102" s="284"/>
      <c r="AF102" s="237">
        <f t="shared" si="34"/>
        <v>0</v>
      </c>
      <c r="AG102" s="259"/>
      <c r="AH102" s="223"/>
      <c r="AI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J102" s="208"/>
      <c r="AK102" s="244">
        <f t="shared" ca="1" si="35"/>
        <v>0</v>
      </c>
      <c r="AL102" s="207"/>
      <c r="AM102" s="207"/>
      <c r="AN102" s="118"/>
    </row>
    <row r="103" spans="1:40" s="38" customFormat="1" ht="15" hidden="1" customHeight="1" outlineLevel="1" x14ac:dyDescent="0.2">
      <c r="A103" s="214" t="str">
        <f t="shared" ca="1" si="32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204" t="str">
        <f t="shared" ca="1" si="33"/>
        <v/>
      </c>
      <c r="AE103" s="227"/>
      <c r="AF103" s="237">
        <f t="shared" si="34"/>
        <v>0</v>
      </c>
      <c r="AG103" s="259"/>
      <c r="AH103" s="223"/>
      <c r="AI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J103" s="208"/>
      <c r="AK103" s="244">
        <f t="shared" ca="1" si="35"/>
        <v>0</v>
      </c>
      <c r="AL103" s="207"/>
      <c r="AM103" s="207"/>
      <c r="AN103" s="118"/>
    </row>
    <row r="104" spans="1:40" s="38" customFormat="1" ht="15" hidden="1" customHeight="1" outlineLevel="1" x14ac:dyDescent="0.2">
      <c r="A104" s="214" t="str">
        <f t="shared" ca="1" si="32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204" t="str">
        <f t="shared" ca="1" si="33"/>
        <v/>
      </c>
      <c r="AE104" s="232"/>
      <c r="AF104" s="237">
        <f t="shared" si="34"/>
        <v>0</v>
      </c>
      <c r="AG104" s="259"/>
      <c r="AH104" s="223"/>
      <c r="AI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J104" s="208"/>
      <c r="AK104" s="244">
        <f t="shared" ca="1" si="35"/>
        <v>0</v>
      </c>
      <c r="AL104" s="207"/>
      <c r="AM104" s="207"/>
      <c r="AN104" s="118"/>
    </row>
    <row r="105" spans="1:40" s="38" customFormat="1" ht="15" hidden="1" customHeight="1" outlineLevel="1" x14ac:dyDescent="0.2">
      <c r="A105" s="214" t="str">
        <f t="shared" ca="1" si="32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204" t="str">
        <f t="shared" ca="1" si="33"/>
        <v/>
      </c>
      <c r="AE105" s="217"/>
      <c r="AF105" s="237">
        <f t="shared" si="34"/>
        <v>0</v>
      </c>
      <c r="AG105" s="259"/>
      <c r="AH105" s="223"/>
      <c r="AI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J105" s="208"/>
      <c r="AK105" s="244">
        <f t="shared" ca="1" si="35"/>
        <v>0</v>
      </c>
      <c r="AL105" s="207"/>
      <c r="AM105" s="207"/>
      <c r="AN105" s="118"/>
    </row>
    <row r="106" spans="1:40" s="38" customFormat="1" ht="15" hidden="1" customHeight="1" outlineLevel="1" x14ac:dyDescent="0.2">
      <c r="A106" s="214" t="str">
        <f t="shared" ca="1" si="32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204" t="str">
        <f t="shared" ca="1" si="33"/>
        <v/>
      </c>
      <c r="AE106" s="217"/>
      <c r="AF106" s="237">
        <f t="shared" si="34"/>
        <v>0</v>
      </c>
      <c r="AG106" s="259"/>
      <c r="AH106" s="223"/>
      <c r="AI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J106" s="208"/>
      <c r="AK106" s="244">
        <f t="shared" ca="1" si="35"/>
        <v>0</v>
      </c>
      <c r="AL106" s="207"/>
      <c r="AM106" s="207"/>
      <c r="AN106" s="118"/>
    </row>
    <row r="107" spans="1:40" s="38" customFormat="1" ht="15" hidden="1" customHeight="1" outlineLevel="1" x14ac:dyDescent="0.2">
      <c r="A107" s="214" t="str">
        <f t="shared" ca="1" si="32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204" t="str">
        <f t="shared" ca="1" si="33"/>
        <v/>
      </c>
      <c r="AE107" s="232"/>
      <c r="AF107" s="237">
        <f t="shared" si="34"/>
        <v>0</v>
      </c>
      <c r="AG107" s="259"/>
      <c r="AH107" s="223"/>
      <c r="AI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J107" s="208"/>
      <c r="AK107" s="244">
        <f t="shared" ca="1" si="35"/>
        <v>0</v>
      </c>
      <c r="AL107" s="285"/>
      <c r="AM107" s="285"/>
      <c r="AN107" s="118"/>
    </row>
    <row r="108" spans="1:40" s="49" customFormat="1" ht="15" hidden="1" customHeight="1" outlineLevel="1" x14ac:dyDescent="0.2">
      <c r="A108" s="214" t="str">
        <f t="shared" ca="1" si="32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204" t="str">
        <f t="shared" ca="1" si="33"/>
        <v/>
      </c>
      <c r="AE108" s="232"/>
      <c r="AF108" s="237">
        <f t="shared" si="34"/>
        <v>0</v>
      </c>
      <c r="AG108" s="259"/>
      <c r="AH108" s="223"/>
      <c r="AI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J108" s="208"/>
      <c r="AK108" s="244">
        <f t="shared" ca="1" si="35"/>
        <v>0</v>
      </c>
      <c r="AL108" s="285"/>
      <c r="AM108" s="285"/>
      <c r="AN108" s="286"/>
    </row>
    <row r="109" spans="1:40" s="49" customFormat="1" ht="15" hidden="1" customHeight="1" outlineLevel="1" x14ac:dyDescent="0.2">
      <c r="A109" s="214" t="str">
        <f t="shared" ca="1" si="32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204" t="str">
        <f t="shared" ca="1" si="33"/>
        <v/>
      </c>
      <c r="AE109" s="217"/>
      <c r="AF109" s="237">
        <f t="shared" si="34"/>
        <v>0</v>
      </c>
      <c r="AG109" s="259"/>
      <c r="AH109" s="223"/>
      <c r="AI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J109" s="208"/>
      <c r="AK109" s="244">
        <f t="shared" ca="1" si="35"/>
        <v>0</v>
      </c>
      <c r="AL109" s="285"/>
      <c r="AM109" s="285"/>
      <c r="AN109" s="286"/>
    </row>
    <row r="110" spans="1:40" ht="15" hidden="1" customHeight="1" outlineLevel="1" x14ac:dyDescent="0.2">
      <c r="A110" s="214" t="str">
        <f t="shared" ca="1" si="32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204" t="str">
        <f t="shared" ca="1" si="33"/>
        <v/>
      </c>
      <c r="AE110" s="217"/>
      <c r="AF110" s="237">
        <f t="shared" si="34"/>
        <v>0</v>
      </c>
      <c r="AG110" s="259"/>
      <c r="AH110" s="223"/>
      <c r="AI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J110" s="208"/>
      <c r="AK110" s="244">
        <f t="shared" ca="1" si="35"/>
        <v>0</v>
      </c>
      <c r="AL110" s="285"/>
      <c r="AM110" s="285"/>
      <c r="AN110" s="122"/>
    </row>
    <row r="111" spans="1:40" ht="15" hidden="1" customHeight="1" outlineLevel="1" x14ac:dyDescent="0.2">
      <c r="A111" s="214" t="str">
        <f t="shared" ca="1" si="32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204" t="str">
        <f t="shared" ca="1" si="33"/>
        <v/>
      </c>
      <c r="AE111" s="217"/>
      <c r="AF111" s="237">
        <f t="shared" si="34"/>
        <v>0</v>
      </c>
      <c r="AG111" s="259"/>
      <c r="AH111" s="223"/>
      <c r="AI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J111" s="208"/>
      <c r="AK111" s="244">
        <f t="shared" ca="1" si="35"/>
        <v>0</v>
      </c>
      <c r="AL111" s="285"/>
      <c r="AM111" s="285"/>
      <c r="AN111" s="122"/>
    </row>
    <row r="112" spans="1:40" ht="15" customHeight="1" collapsed="1" x14ac:dyDescent="0.2">
      <c r="A112" s="214" t="s">
        <v>188</v>
      </c>
      <c r="B112" s="235">
        <f>SUM(B97:B111)</f>
        <v>0</v>
      </c>
      <c r="C112" s="235">
        <f t="shared" ref="C112:AC112" si="36">SUM(C97:C111)</f>
        <v>0</v>
      </c>
      <c r="D112" s="235">
        <f t="shared" si="36"/>
        <v>0</v>
      </c>
      <c r="E112" s="235">
        <f t="shared" si="36"/>
        <v>0</v>
      </c>
      <c r="F112" s="235">
        <f t="shared" si="36"/>
        <v>0</v>
      </c>
      <c r="G112" s="235">
        <f t="shared" si="36"/>
        <v>0</v>
      </c>
      <c r="H112" s="235">
        <f t="shared" si="36"/>
        <v>0</v>
      </c>
      <c r="I112" s="235">
        <f t="shared" si="36"/>
        <v>0</v>
      </c>
      <c r="J112" s="235">
        <f t="shared" si="36"/>
        <v>0</v>
      </c>
      <c r="K112" s="235">
        <f t="shared" si="36"/>
        <v>0</v>
      </c>
      <c r="L112" s="235">
        <f t="shared" si="36"/>
        <v>0</v>
      </c>
      <c r="M112" s="235">
        <f t="shared" si="36"/>
        <v>0</v>
      </c>
      <c r="N112" s="235">
        <f t="shared" si="36"/>
        <v>0</v>
      </c>
      <c r="O112" s="235">
        <f t="shared" si="36"/>
        <v>0</v>
      </c>
      <c r="P112" s="235">
        <f t="shared" si="36"/>
        <v>0</v>
      </c>
      <c r="Q112" s="235">
        <f t="shared" si="36"/>
        <v>0</v>
      </c>
      <c r="R112" s="235">
        <f t="shared" si="36"/>
        <v>0</v>
      </c>
      <c r="S112" s="235">
        <f t="shared" si="36"/>
        <v>0</v>
      </c>
      <c r="T112" s="235">
        <f t="shared" si="36"/>
        <v>0</v>
      </c>
      <c r="U112" s="235">
        <f t="shared" si="36"/>
        <v>0</v>
      </c>
      <c r="V112" s="235">
        <f t="shared" si="36"/>
        <v>0</v>
      </c>
      <c r="W112" s="235">
        <f t="shared" si="36"/>
        <v>0</v>
      </c>
      <c r="X112" s="235">
        <f t="shared" si="36"/>
        <v>0</v>
      </c>
      <c r="Y112" s="235">
        <f t="shared" si="36"/>
        <v>0</v>
      </c>
      <c r="Z112" s="235">
        <f t="shared" si="36"/>
        <v>0</v>
      </c>
      <c r="AA112" s="235">
        <f t="shared" si="36"/>
        <v>0</v>
      </c>
      <c r="AB112" s="235">
        <f t="shared" si="36"/>
        <v>0</v>
      </c>
      <c r="AC112" s="235">
        <f t="shared" si="36"/>
        <v>0</v>
      </c>
      <c r="AD112" s="216" t="str">
        <f t="shared" si="33"/>
        <v>Arbeitszeit Total Projekte</v>
      </c>
      <c r="AE112" s="217"/>
      <c r="AF112" s="237">
        <f t="shared" si="34"/>
        <v>0</v>
      </c>
      <c r="AG112" s="259"/>
      <c r="AH112" s="223"/>
      <c r="AI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J112" s="208"/>
      <c r="AK112" s="244">
        <f t="shared" ca="1" si="35"/>
        <v>0</v>
      </c>
      <c r="AL112" s="287"/>
      <c r="AM112" s="287"/>
      <c r="AN112" s="122"/>
    </row>
    <row r="113" spans="1:40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89"/>
      <c r="AE113" s="284"/>
      <c r="AF113" s="225"/>
      <c r="AG113" s="290"/>
      <c r="AH113" s="225"/>
      <c r="AI113" s="225"/>
      <c r="AJ113" s="225"/>
      <c r="AK113" s="129"/>
      <c r="AL113" s="225"/>
      <c r="AM113" s="225"/>
      <c r="AN113" s="118"/>
    </row>
    <row r="114" spans="1:40" s="38" customFormat="1" ht="15" hidden="1" customHeight="1" outlineLevel="1" x14ac:dyDescent="0.2">
      <c r="A114" s="214" t="s">
        <v>214</v>
      </c>
      <c r="B114" s="239">
        <f t="shared" ref="B114:AC114" si="37">ROUND(((B23+B45+B91)-SUMPRODUCT((B97:B111)*(EB.Projektart.Bereich=6)))*1440,0)/1440</f>
        <v>0</v>
      </c>
      <c r="C114" s="239">
        <f t="shared" si="37"/>
        <v>0</v>
      </c>
      <c r="D114" s="239">
        <f t="shared" si="37"/>
        <v>0</v>
      </c>
      <c r="E114" s="239">
        <f t="shared" si="37"/>
        <v>0</v>
      </c>
      <c r="F114" s="239">
        <f t="shared" si="37"/>
        <v>0</v>
      </c>
      <c r="G114" s="239">
        <f t="shared" si="37"/>
        <v>0</v>
      </c>
      <c r="H114" s="239">
        <f t="shared" si="37"/>
        <v>0</v>
      </c>
      <c r="I114" s="239">
        <f t="shared" si="37"/>
        <v>0</v>
      </c>
      <c r="J114" s="239">
        <f t="shared" si="37"/>
        <v>0</v>
      </c>
      <c r="K114" s="239">
        <f t="shared" si="37"/>
        <v>0</v>
      </c>
      <c r="L114" s="239">
        <f t="shared" si="37"/>
        <v>0</v>
      </c>
      <c r="M114" s="239">
        <f t="shared" si="37"/>
        <v>0</v>
      </c>
      <c r="N114" s="239">
        <f t="shared" si="37"/>
        <v>0</v>
      </c>
      <c r="O114" s="239">
        <f t="shared" si="37"/>
        <v>0</v>
      </c>
      <c r="P114" s="239">
        <f t="shared" si="37"/>
        <v>0</v>
      </c>
      <c r="Q114" s="239">
        <f t="shared" si="37"/>
        <v>0</v>
      </c>
      <c r="R114" s="239">
        <f t="shared" si="37"/>
        <v>0</v>
      </c>
      <c r="S114" s="239">
        <f t="shared" si="37"/>
        <v>0</v>
      </c>
      <c r="T114" s="239">
        <f t="shared" si="37"/>
        <v>0</v>
      </c>
      <c r="U114" s="239">
        <f t="shared" si="37"/>
        <v>0</v>
      </c>
      <c r="V114" s="239">
        <f t="shared" si="37"/>
        <v>0</v>
      </c>
      <c r="W114" s="239">
        <f t="shared" si="37"/>
        <v>0</v>
      </c>
      <c r="X114" s="239">
        <f t="shared" si="37"/>
        <v>0</v>
      </c>
      <c r="Y114" s="239">
        <f t="shared" si="37"/>
        <v>0</v>
      </c>
      <c r="Z114" s="239">
        <f t="shared" si="37"/>
        <v>0</v>
      </c>
      <c r="AA114" s="239">
        <f t="shared" si="37"/>
        <v>0</v>
      </c>
      <c r="AB114" s="239">
        <f t="shared" si="37"/>
        <v>0</v>
      </c>
      <c r="AC114" s="239">
        <f t="shared" si="37"/>
        <v>0</v>
      </c>
      <c r="AD114" s="216" t="str">
        <f t="shared" ref="AD114" si="38">A114</f>
        <v>Differenz AZ - Projektart 6</v>
      </c>
      <c r="AE114" s="227"/>
      <c r="AF114" s="237">
        <f>SUM(B114:AC114)</f>
        <v>0</v>
      </c>
      <c r="AG114" s="259"/>
      <c r="AH114" s="260"/>
      <c r="AI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J114" s="260"/>
      <c r="AK114" s="244">
        <f ca="1">AF114+AI114</f>
        <v>0</v>
      </c>
      <c r="AL114" s="260"/>
      <c r="AM114" s="260"/>
      <c r="AN114" s="118"/>
    </row>
    <row r="115" spans="1:40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3"/>
      <c r="AE115" s="294"/>
      <c r="AF115" s="122"/>
      <c r="AG115" s="122"/>
      <c r="AH115" s="122"/>
      <c r="AI115" s="122"/>
      <c r="AJ115" s="122"/>
      <c r="AK115" s="295"/>
      <c r="AL115" s="122"/>
      <c r="AM115" s="122"/>
      <c r="AN115" s="122"/>
    </row>
    <row r="116" spans="1:40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3"/>
      <c r="AE116" s="294"/>
      <c r="AF116" s="122"/>
      <c r="AG116" s="122"/>
      <c r="AH116" s="122"/>
      <c r="AI116" s="122"/>
      <c r="AJ116" s="122"/>
      <c r="AK116" s="295"/>
      <c r="AL116" s="122"/>
      <c r="AM116" s="122"/>
      <c r="AN116" s="122"/>
    </row>
    <row r="117" spans="1:40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7"/>
      <c r="AE117" s="298"/>
      <c r="AF117" s="296"/>
      <c r="AG117" s="296"/>
      <c r="AH117" s="296"/>
      <c r="AI117" s="296"/>
      <c r="AJ117" s="296"/>
      <c r="AK117" s="299"/>
      <c r="AL117" s="286"/>
      <c r="AM117" s="286"/>
      <c r="AN117" s="122"/>
    </row>
    <row r="118" spans="1:40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122"/>
    </row>
    <row r="119" spans="1:40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3" t="str">
        <f ca="1">IF(AD67&lt;&gt;Monat.KomAZText,AD67 &amp; CHAR(10),"") &amp;
IF(AD84&lt;&gt;Monat.FerienText,AD84,"")</f>
        <v/>
      </c>
      <c r="AE119" s="493"/>
      <c r="AF119" s="493"/>
      <c r="AG119" s="493"/>
      <c r="AH119" s="493"/>
      <c r="AI119" s="493"/>
      <c r="AJ119" s="493"/>
      <c r="AK119" s="493"/>
      <c r="AL119" s="493"/>
      <c r="AM119" s="493"/>
      <c r="AN119" s="122"/>
    </row>
    <row r="120" spans="1:40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3"/>
      <c r="AE120" s="493"/>
      <c r="AF120" s="493"/>
      <c r="AG120" s="493"/>
      <c r="AH120" s="493"/>
      <c r="AI120" s="493"/>
      <c r="AJ120" s="493"/>
      <c r="AK120" s="493"/>
      <c r="AL120" s="493"/>
      <c r="AM120" s="493"/>
      <c r="AN120" s="122"/>
    </row>
    <row r="121" spans="1:40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3"/>
      <c r="AE121" s="294"/>
      <c r="AF121" s="122"/>
      <c r="AG121" s="122"/>
      <c r="AH121" s="122"/>
      <c r="AI121" s="122"/>
      <c r="AJ121" s="122"/>
      <c r="AK121" s="295"/>
      <c r="AL121" s="122"/>
      <c r="AM121" s="122"/>
      <c r="AN121" s="122"/>
    </row>
    <row r="122" spans="1:40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3"/>
      <c r="AE122" s="294"/>
      <c r="AF122" s="122"/>
      <c r="AG122" s="122"/>
      <c r="AH122" s="122"/>
      <c r="AI122" s="122"/>
      <c r="AJ122" s="122"/>
      <c r="AK122" s="295"/>
      <c r="AL122" s="122"/>
      <c r="AM122" s="122"/>
      <c r="AN122" s="122"/>
    </row>
    <row r="123" spans="1:40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3"/>
      <c r="AE123" s="294"/>
      <c r="AF123" s="122"/>
      <c r="AG123" s="122"/>
      <c r="AH123" s="122"/>
      <c r="AI123" s="122"/>
      <c r="AJ123" s="122"/>
      <c r="AK123" s="295"/>
      <c r="AL123" s="122"/>
      <c r="AM123" s="122"/>
      <c r="AN123" s="122"/>
    </row>
    <row r="124" spans="1:40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122"/>
    </row>
    <row r="125" spans="1:40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</row>
    <row r="126" spans="1:40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</row>
    <row r="127" spans="1:40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</row>
    <row r="128" spans="1:40" x14ac:dyDescent="0.2">
      <c r="AD128" s="50"/>
      <c r="AE128" s="50"/>
      <c r="AK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L1:AM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E10:AF10"/>
    <mergeCell ref="AL10:AM10"/>
    <mergeCell ref="B117:Q117"/>
    <mergeCell ref="B119:Q119"/>
    <mergeCell ref="Y119:AC120"/>
    <mergeCell ref="AD119:AM120"/>
    <mergeCell ref="B120:Q120"/>
    <mergeCell ref="T120:X120"/>
  </mergeCells>
  <conditionalFormatting sqref="AF114 B114:AC114">
    <cfRule type="expression" dxfId="309" priority="16">
      <formula>ABS(B$114)&gt;=ROUND(1/24/60,9)</formula>
    </cfRule>
  </conditionalFormatting>
  <conditionalFormatting sqref="B13:AC22 B34:AC44 B25:AC30 B60:AC61 B67:AC67 B71:AC72 B84:AC84 B86:AC95 B97:AC111">
    <cfRule type="expression" dxfId="308" priority="14">
      <formula>WEEKDAY(B$10,2)&gt;5</formula>
    </cfRule>
    <cfRule type="expression" dxfId="307" priority="15">
      <formula>AND(NOT(ISERROR(MATCH(B$10,T.Feiertage.Bereich,0))),OFFSET(T.Feiertage.Bereich,MATCH(B$10,T.Feiertage.Bereich,0)-1,1,1,1)&gt;0)</formula>
    </cfRule>
    <cfRule type="expression" dxfId="306" priority="17">
      <formula>B$11=0</formula>
    </cfRule>
  </conditionalFormatting>
  <conditionalFormatting sqref="AK60:AL60">
    <cfRule type="expression" dxfId="305" priority="22">
      <formula>AND(T.50_Vetsuisse,AK60&gt;=T.GrenzeAngÜZ50_Vetsuisse)</formula>
    </cfRule>
    <cfRule type="expression" dxfId="304" priority="23">
      <formula>AND(T.50_Vetsuisse,AK60&gt;T.GrenzeAngÜZ50_Vetsuisse*T.AngÜZ50_Vetsuisse_orange)</formula>
    </cfRule>
  </conditionalFormatting>
  <conditionalFormatting sqref="B56:AC56">
    <cfRule type="expression" dxfId="303" priority="8">
      <formula>AND(B$10&gt;TODAY(),EB.UJAustritt="")</formula>
    </cfRule>
    <cfRule type="expression" dxfId="302" priority="9">
      <formula>B$56&gt;99.99/24</formula>
    </cfRule>
    <cfRule type="expression" dxfId="301" priority="11">
      <formula>B$56&lt;99.99/24*-1</formula>
    </cfRule>
  </conditionalFormatting>
  <conditionalFormatting sqref="AL55:AM55">
    <cfRule type="cellIs" dxfId="300" priority="24" operator="greaterThan">
      <formula>1/24/60</formula>
    </cfRule>
    <cfRule type="expression" dxfId="299" priority="25">
      <formula>AND(AL55&lt;=1/24/60*-1,TODAY()&gt;=DATE(EB.Jahr,MONTH(12),DAY(31)))</formula>
    </cfRule>
  </conditionalFormatting>
  <conditionalFormatting sqref="AF58 B56:AC56">
    <cfRule type="expression" dxfId="298" priority="10">
      <formula>B$56&gt;1/24/60</formula>
    </cfRule>
    <cfRule type="expression" dxfId="297" priority="12">
      <formula>AND(B$56&lt;=1/24/60*-1,B$56)</formula>
    </cfRule>
  </conditionalFormatting>
  <conditionalFormatting sqref="B14:AC22 B36:AC44 B26:AC30">
    <cfRule type="expression" dxfId="296" priority="6">
      <formula>AND(B14&lt;B13,B14&lt;&gt;"")</formula>
    </cfRule>
  </conditionalFormatting>
  <conditionalFormatting sqref="B72:AC73">
    <cfRule type="expression" dxfId="295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294" priority="18">
      <formula>$P$4&lt;&gt;""</formula>
    </cfRule>
  </conditionalFormatting>
  <conditionalFormatting sqref="V4">
    <cfRule type="expression" dxfId="293" priority="19">
      <formula>$V$4&lt;&gt;""</formula>
    </cfRule>
  </conditionalFormatting>
  <conditionalFormatting sqref="AM60">
    <cfRule type="expression" dxfId="292" priority="26">
      <formula>AND(T.50_Vetsuisse,AM60&gt;=T.GrenzeAngÜZ50_Vetsuisse)</formula>
    </cfRule>
    <cfRule type="expression" dxfId="291" priority="27">
      <formula>AND(T.50_Vetsuisse,AM60&gt;T.GrenzeAngÜZ50_Vetsuisse*T.AngÜZ50_Vetsuisse_orange)</formula>
    </cfRule>
  </conditionalFormatting>
  <conditionalFormatting sqref="AG72:AG73">
    <cfRule type="expression" dxfId="290" priority="20">
      <formula>AND(T.50_Vetsuisse,$AG$72&lt;&gt;$AG$73)</formula>
    </cfRule>
    <cfRule type="expression" dxfId="289" priority="21">
      <formula>$AG$72&gt;$AG$73</formula>
    </cfRule>
  </conditionalFormatting>
  <conditionalFormatting sqref="B55:AC55">
    <cfRule type="expression" dxfId="288" priority="7">
      <formula>AND(B$10&lt;=TODAY(),B$55&lt;1/24/60*-1)</formula>
    </cfRule>
  </conditionalFormatting>
  <conditionalFormatting sqref="AD67 AD84">
    <cfRule type="expression" dxfId="287" priority="5">
      <formula>AD67&lt;&gt;A67</formula>
    </cfRule>
  </conditionalFormatting>
  <conditionalFormatting sqref="B67:AC67">
    <cfRule type="expression" dxfId="286" priority="4">
      <formula>AND(B66=0,B67&gt;0)</formula>
    </cfRule>
  </conditionalFormatting>
  <conditionalFormatting sqref="B34:AC34">
    <cfRule type="expression" dxfId="285" priority="3">
      <formula>T.MedizinischeMikrobiologie</formula>
    </cfRule>
  </conditionalFormatting>
  <conditionalFormatting sqref="AH51">
    <cfRule type="expression" dxfId="284" priority="2">
      <formula>ISNUMBER(AH51)</formula>
    </cfRule>
  </conditionalFormatting>
  <conditionalFormatting sqref="AK51">
    <cfRule type="expression" dxfId="283" priority="1">
      <formula>ISNUMBER(AK51)</formula>
    </cfRule>
  </conditionalFormatting>
  <dataValidations count="2">
    <dataValidation type="list" allowBlank="1" showInputMessage="1" showErrorMessage="1" errorTitle="Start Gepl. Nachtdienst" error="Bitte wählen Sie einen Wert aus der Liste." sqref="B72:AC72" xr:uid="{1242D60A-CF75-448C-8722-3FF426AA5181}">
      <formula1>T.JaNein.Bereich</formula1>
    </dataValidation>
    <dataValidation type="list" allowBlank="1" showInputMessage="1" showErrorMessage="1" errorTitle="Pikett Bereitschaft" error="Bitte wählen Sie einen Wert aus der Liste." sqref="B34:AC34" xr:uid="{FB086E2C-17C4-4F45-AAB0-8A4C6A297B7F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2AB6-FF41-4183-93A0-99052ABBC39F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März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März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Di</v>
      </c>
      <c r="C9" s="194" t="str">
        <f t="shared" si="0"/>
        <v>Mi</v>
      </c>
      <c r="D9" s="194" t="str">
        <f t="shared" si="0"/>
        <v>Do</v>
      </c>
      <c r="E9" s="194" t="str">
        <f t="shared" si="0"/>
        <v>Fr</v>
      </c>
      <c r="F9" s="194" t="str">
        <f t="shared" si="0"/>
        <v>Sa</v>
      </c>
      <c r="G9" s="194" t="str">
        <f t="shared" si="0"/>
        <v>So</v>
      </c>
      <c r="H9" s="194" t="str">
        <f t="shared" si="0"/>
        <v>Mo</v>
      </c>
      <c r="I9" s="194" t="str">
        <f t="shared" si="0"/>
        <v>Di</v>
      </c>
      <c r="J9" s="194" t="str">
        <f t="shared" si="0"/>
        <v>Mi</v>
      </c>
      <c r="K9" s="194" t="str">
        <f t="shared" si="0"/>
        <v>Do</v>
      </c>
      <c r="L9" s="194" t="str">
        <f t="shared" si="0"/>
        <v>Fr</v>
      </c>
      <c r="M9" s="194" t="str">
        <f t="shared" si="0"/>
        <v>Sa</v>
      </c>
      <c r="N9" s="194" t="str">
        <f t="shared" si="0"/>
        <v>So</v>
      </c>
      <c r="O9" s="194" t="str">
        <f t="shared" si="0"/>
        <v>Mo</v>
      </c>
      <c r="P9" s="194" t="str">
        <f t="shared" si="0"/>
        <v>Di</v>
      </c>
      <c r="Q9" s="194" t="str">
        <f t="shared" si="0"/>
        <v>Mi</v>
      </c>
      <c r="R9" s="194" t="str">
        <f t="shared" si="0"/>
        <v>Do</v>
      </c>
      <c r="S9" s="194" t="str">
        <f t="shared" si="0"/>
        <v>Fr</v>
      </c>
      <c r="T9" s="194" t="str">
        <f t="shared" si="0"/>
        <v>Sa</v>
      </c>
      <c r="U9" s="194" t="str">
        <f t="shared" si="0"/>
        <v>So</v>
      </c>
      <c r="V9" s="194" t="str">
        <f t="shared" si="0"/>
        <v>Mo</v>
      </c>
      <c r="W9" s="194" t="str">
        <f t="shared" si="0"/>
        <v>Di</v>
      </c>
      <c r="X9" s="194" t="str">
        <f t="shared" si="0"/>
        <v>Mi</v>
      </c>
      <c r="Y9" s="194" t="str">
        <f t="shared" si="0"/>
        <v>Do</v>
      </c>
      <c r="Z9" s="194" t="str">
        <f t="shared" si="0"/>
        <v>Fr</v>
      </c>
      <c r="AA9" s="194" t="str">
        <f t="shared" si="0"/>
        <v>Sa</v>
      </c>
      <c r="AB9" s="194" t="str">
        <f t="shared" si="0"/>
        <v>So</v>
      </c>
      <c r="AC9" s="194" t="str">
        <f t="shared" si="0"/>
        <v>Mo</v>
      </c>
      <c r="AD9" s="194" t="str">
        <f t="shared" si="0"/>
        <v>Di</v>
      </c>
      <c r="AE9" s="194" t="str">
        <f t="shared" si="0"/>
        <v>Mi</v>
      </c>
      <c r="AF9" s="194" t="str">
        <f t="shared" si="0"/>
        <v>Do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43159</v>
      </c>
      <c r="C10" s="196">
        <f>B10+1</f>
        <v>43160</v>
      </c>
      <c r="D10" s="196">
        <f t="shared" ref="D10:AF10" si="1">C10+1</f>
        <v>43161</v>
      </c>
      <c r="E10" s="196">
        <f t="shared" si="1"/>
        <v>43162</v>
      </c>
      <c r="F10" s="196">
        <f t="shared" si="1"/>
        <v>43163</v>
      </c>
      <c r="G10" s="196">
        <f t="shared" si="1"/>
        <v>43164</v>
      </c>
      <c r="H10" s="196">
        <f t="shared" si="1"/>
        <v>43165</v>
      </c>
      <c r="I10" s="196">
        <f t="shared" si="1"/>
        <v>43166</v>
      </c>
      <c r="J10" s="196">
        <f t="shared" si="1"/>
        <v>43167</v>
      </c>
      <c r="K10" s="196">
        <f t="shared" si="1"/>
        <v>43168</v>
      </c>
      <c r="L10" s="196">
        <f t="shared" si="1"/>
        <v>43169</v>
      </c>
      <c r="M10" s="196">
        <f t="shared" si="1"/>
        <v>43170</v>
      </c>
      <c r="N10" s="196">
        <f t="shared" si="1"/>
        <v>43171</v>
      </c>
      <c r="O10" s="196">
        <f t="shared" si="1"/>
        <v>43172</v>
      </c>
      <c r="P10" s="196">
        <f t="shared" si="1"/>
        <v>43173</v>
      </c>
      <c r="Q10" s="196">
        <f t="shared" si="1"/>
        <v>43174</v>
      </c>
      <c r="R10" s="196">
        <f t="shared" si="1"/>
        <v>43175</v>
      </c>
      <c r="S10" s="196">
        <f t="shared" si="1"/>
        <v>43176</v>
      </c>
      <c r="T10" s="196">
        <f t="shared" si="1"/>
        <v>43177</v>
      </c>
      <c r="U10" s="196">
        <f t="shared" si="1"/>
        <v>43178</v>
      </c>
      <c r="V10" s="196">
        <f t="shared" si="1"/>
        <v>43179</v>
      </c>
      <c r="W10" s="196">
        <f t="shared" si="1"/>
        <v>43180</v>
      </c>
      <c r="X10" s="196">
        <f t="shared" si="1"/>
        <v>43181</v>
      </c>
      <c r="Y10" s="196">
        <f t="shared" si="1"/>
        <v>43182</v>
      </c>
      <c r="Z10" s="196">
        <f t="shared" si="1"/>
        <v>43183</v>
      </c>
      <c r="AA10" s="196">
        <f t="shared" si="1"/>
        <v>43184</v>
      </c>
      <c r="AB10" s="196">
        <f t="shared" si="1"/>
        <v>43185</v>
      </c>
      <c r="AC10" s="196">
        <f t="shared" si="1"/>
        <v>43186</v>
      </c>
      <c r="AD10" s="196">
        <f t="shared" si="1"/>
        <v>43187</v>
      </c>
      <c r="AE10" s="196">
        <f t="shared" si="1"/>
        <v>43188</v>
      </c>
      <c r="AF10" s="196">
        <f t="shared" si="1"/>
        <v>43189</v>
      </c>
      <c r="AG10" s="197" t="str">
        <f t="shared" ref="AG10:AG56" si="2">A10</f>
        <v>Tag</v>
      </c>
      <c r="AH10" s="485" t="str">
        <f>"Total " &amp; INDEX(EB.Monate.Bereich,MONTH(Monat.Tag1))</f>
        <v>Total März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1</v>
      </c>
      <c r="C11" s="201">
        <f t="shared" ca="1" si="3"/>
        <v>1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1</v>
      </c>
      <c r="Z11" s="203">
        <f t="shared" ca="1" si="3"/>
        <v>1</v>
      </c>
      <c r="AA11" s="201">
        <f t="shared" ca="1" si="3"/>
        <v>1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1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0.35</v>
      </c>
      <c r="C52" s="78">
        <f t="shared" ca="1" si="14"/>
        <v>0.35</v>
      </c>
      <c r="D52" s="79">
        <f t="shared" ca="1" si="14"/>
        <v>0.35</v>
      </c>
      <c r="E52" s="78">
        <f t="shared" ca="1" si="14"/>
        <v>0.35</v>
      </c>
      <c r="F52" s="79">
        <f t="shared" ca="1" si="14"/>
        <v>0</v>
      </c>
      <c r="G52" s="79">
        <f t="shared" ca="1" si="14"/>
        <v>0</v>
      </c>
      <c r="H52" s="79">
        <f t="shared" ca="1" si="14"/>
        <v>0.35</v>
      </c>
      <c r="I52" s="79">
        <f t="shared" ca="1" si="14"/>
        <v>0.35</v>
      </c>
      <c r="J52" s="78">
        <f t="shared" ca="1" si="14"/>
        <v>0.35</v>
      </c>
      <c r="K52" s="79">
        <f t="shared" ca="1" si="14"/>
        <v>0.35</v>
      </c>
      <c r="L52" s="78">
        <f t="shared" ca="1" si="14"/>
        <v>0.35</v>
      </c>
      <c r="M52" s="79">
        <f t="shared" ca="1" si="14"/>
        <v>0</v>
      </c>
      <c r="N52" s="79">
        <f t="shared" ca="1" si="14"/>
        <v>0</v>
      </c>
      <c r="O52" s="79">
        <f t="shared" ca="1" si="14"/>
        <v>0.35</v>
      </c>
      <c r="P52" s="79">
        <f t="shared" ca="1" si="14"/>
        <v>0.35</v>
      </c>
      <c r="Q52" s="78">
        <f t="shared" ca="1" si="14"/>
        <v>0.35</v>
      </c>
      <c r="R52" s="79">
        <f t="shared" ca="1" si="14"/>
        <v>0.35</v>
      </c>
      <c r="S52" s="78">
        <f t="shared" ca="1" si="14"/>
        <v>0.35</v>
      </c>
      <c r="T52" s="78">
        <f t="shared" ca="1" si="14"/>
        <v>0</v>
      </c>
      <c r="U52" s="79">
        <f t="shared" ca="1" si="14"/>
        <v>0</v>
      </c>
      <c r="V52" s="79">
        <f t="shared" ca="1" si="14"/>
        <v>0.35</v>
      </c>
      <c r="W52" s="79">
        <f t="shared" ca="1" si="14"/>
        <v>0.35</v>
      </c>
      <c r="X52" s="78">
        <f t="shared" ca="1" si="14"/>
        <v>0.35</v>
      </c>
      <c r="Y52" s="79">
        <f t="shared" ca="1" si="14"/>
        <v>0.35</v>
      </c>
      <c r="Z52" s="80">
        <f t="shared" ca="1" si="14"/>
        <v>0.35</v>
      </c>
      <c r="AA52" s="79">
        <f t="shared" ca="1" si="14"/>
        <v>0</v>
      </c>
      <c r="AB52" s="79">
        <f t="shared" ca="1" si="14"/>
        <v>0</v>
      </c>
      <c r="AC52" s="79">
        <f t="shared" ca="1" si="14"/>
        <v>0.35</v>
      </c>
      <c r="AD52" s="79">
        <f t="shared" ca="1" si="14"/>
        <v>0.35</v>
      </c>
      <c r="AE52" s="78">
        <f t="shared" ca="1" si="14"/>
        <v>0.35</v>
      </c>
      <c r="AF52" s="79">
        <f t="shared" ca="1" si="14"/>
        <v>0.35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0.35</v>
      </c>
      <c r="C53" s="239">
        <f t="shared" ca="1" si="15"/>
        <v>0.35</v>
      </c>
      <c r="D53" s="239">
        <f t="shared" ca="1" si="15"/>
        <v>0.35</v>
      </c>
      <c r="E53" s="239">
        <f t="shared" ca="1" si="15"/>
        <v>0.35</v>
      </c>
      <c r="F53" s="239">
        <f t="shared" ca="1" si="15"/>
        <v>0</v>
      </c>
      <c r="G53" s="239">
        <f t="shared" ca="1" si="15"/>
        <v>0</v>
      </c>
      <c r="H53" s="239">
        <f t="shared" ca="1" si="15"/>
        <v>0.35</v>
      </c>
      <c r="I53" s="239">
        <f t="shared" ca="1" si="15"/>
        <v>0.35</v>
      </c>
      <c r="J53" s="239">
        <f t="shared" ca="1" si="15"/>
        <v>0.35</v>
      </c>
      <c r="K53" s="239">
        <f t="shared" ca="1" si="15"/>
        <v>0.35</v>
      </c>
      <c r="L53" s="239">
        <f t="shared" ca="1" si="15"/>
        <v>0.35</v>
      </c>
      <c r="M53" s="239">
        <f t="shared" ca="1" si="15"/>
        <v>0</v>
      </c>
      <c r="N53" s="239">
        <f t="shared" ca="1" si="15"/>
        <v>0</v>
      </c>
      <c r="O53" s="239">
        <f t="shared" ca="1" si="15"/>
        <v>0.35</v>
      </c>
      <c r="P53" s="239">
        <f t="shared" ca="1" si="15"/>
        <v>0.35</v>
      </c>
      <c r="Q53" s="239">
        <f t="shared" ca="1" si="15"/>
        <v>0.35</v>
      </c>
      <c r="R53" s="239">
        <f t="shared" ca="1" si="15"/>
        <v>0.35</v>
      </c>
      <c r="S53" s="239">
        <f t="shared" ca="1" si="15"/>
        <v>0.35</v>
      </c>
      <c r="T53" s="239">
        <f t="shared" ca="1" si="15"/>
        <v>0</v>
      </c>
      <c r="U53" s="239">
        <f t="shared" ca="1" si="15"/>
        <v>0</v>
      </c>
      <c r="V53" s="239">
        <f t="shared" ca="1" si="15"/>
        <v>0.35</v>
      </c>
      <c r="W53" s="239">
        <f t="shared" ca="1" si="15"/>
        <v>0.35</v>
      </c>
      <c r="X53" s="239">
        <f t="shared" ca="1" si="15"/>
        <v>0.35</v>
      </c>
      <c r="Y53" s="239">
        <f t="shared" ca="1" si="15"/>
        <v>0.35</v>
      </c>
      <c r="Z53" s="239">
        <f t="shared" ca="1" si="15"/>
        <v>0.35</v>
      </c>
      <c r="AA53" s="239">
        <f t="shared" ca="1" si="15"/>
        <v>0</v>
      </c>
      <c r="AB53" s="239">
        <f t="shared" ca="1" si="15"/>
        <v>0</v>
      </c>
      <c r="AC53" s="239">
        <f t="shared" ca="1" si="15"/>
        <v>0.35</v>
      </c>
      <c r="AD53" s="239">
        <f t="shared" ca="1" si="15"/>
        <v>0.35</v>
      </c>
      <c r="AE53" s="239">
        <f t="shared" ca="1" si="15"/>
        <v>0.35</v>
      </c>
      <c r="AF53" s="239">
        <f t="shared" ca="1" si="15"/>
        <v>0.35</v>
      </c>
      <c r="AG53" s="204" t="str">
        <f t="shared" si="2"/>
        <v>Arbeitszeit SOLL gem. BG</v>
      </c>
      <c r="AH53" s="217"/>
      <c r="AI53" s="237">
        <f ca="1">SUM(B53:AF53)</f>
        <v>8.0499999999999972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0.35</v>
      </c>
      <c r="C54" s="239">
        <f t="shared" ca="1" si="16"/>
        <v>0.35</v>
      </c>
      <c r="D54" s="240">
        <f t="shared" ca="1" si="16"/>
        <v>0.35</v>
      </c>
      <c r="E54" s="239">
        <f t="shared" ca="1" si="16"/>
        <v>0.35</v>
      </c>
      <c r="F54" s="240">
        <f t="shared" ca="1" si="16"/>
        <v>0</v>
      </c>
      <c r="G54" s="240">
        <f t="shared" ca="1" si="16"/>
        <v>0</v>
      </c>
      <c r="H54" s="240">
        <f t="shared" ca="1" si="16"/>
        <v>0.35</v>
      </c>
      <c r="I54" s="240">
        <f t="shared" ca="1" si="16"/>
        <v>0.35</v>
      </c>
      <c r="J54" s="239">
        <f t="shared" ca="1" si="16"/>
        <v>0.35</v>
      </c>
      <c r="K54" s="240">
        <f t="shared" ca="1" si="16"/>
        <v>0.35</v>
      </c>
      <c r="L54" s="239">
        <f t="shared" ca="1" si="16"/>
        <v>0.35</v>
      </c>
      <c r="M54" s="240">
        <f t="shared" ca="1" si="16"/>
        <v>0</v>
      </c>
      <c r="N54" s="240">
        <f t="shared" ca="1" si="16"/>
        <v>0</v>
      </c>
      <c r="O54" s="240">
        <f t="shared" ca="1" si="16"/>
        <v>0.35</v>
      </c>
      <c r="P54" s="240">
        <f t="shared" ca="1" si="16"/>
        <v>0.35</v>
      </c>
      <c r="Q54" s="239">
        <f t="shared" ca="1" si="16"/>
        <v>0.35</v>
      </c>
      <c r="R54" s="240">
        <f t="shared" ca="1" si="16"/>
        <v>0.35</v>
      </c>
      <c r="S54" s="239">
        <f t="shared" ca="1" si="16"/>
        <v>0.35</v>
      </c>
      <c r="T54" s="239">
        <f t="shared" ca="1" si="16"/>
        <v>0</v>
      </c>
      <c r="U54" s="240">
        <f t="shared" ca="1" si="16"/>
        <v>0</v>
      </c>
      <c r="V54" s="240">
        <f t="shared" ca="1" si="16"/>
        <v>0.35</v>
      </c>
      <c r="W54" s="240">
        <f t="shared" ca="1" si="16"/>
        <v>0.35</v>
      </c>
      <c r="X54" s="239">
        <f t="shared" ca="1" si="16"/>
        <v>0.35</v>
      </c>
      <c r="Y54" s="240">
        <f t="shared" ca="1" si="16"/>
        <v>0.35</v>
      </c>
      <c r="Z54" s="241">
        <f t="shared" ca="1" si="16"/>
        <v>0.35</v>
      </c>
      <c r="AA54" s="240">
        <f t="shared" ca="1" si="16"/>
        <v>0</v>
      </c>
      <c r="AB54" s="240">
        <f t="shared" ca="1" si="16"/>
        <v>0</v>
      </c>
      <c r="AC54" s="240">
        <f t="shared" ca="1" si="16"/>
        <v>0.35</v>
      </c>
      <c r="AD54" s="240">
        <f t="shared" ca="1" si="16"/>
        <v>0.35</v>
      </c>
      <c r="AE54" s="239">
        <f t="shared" ca="1" si="16"/>
        <v>0.35</v>
      </c>
      <c r="AF54" s="240">
        <f t="shared" ca="1" si="16"/>
        <v>0.35</v>
      </c>
      <c r="AG54" s="204" t="str">
        <f t="shared" si="2"/>
        <v>Arbeitszeit SOLL 100%</v>
      </c>
      <c r="AH54" s="217"/>
      <c r="AI54" s="237">
        <f ca="1">SUM(B54:AF54)</f>
        <v>8.0499999999999972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F55" ca="1" si="17">ROUND((C51-C53)*1440,0)/1440</f>
        <v>-0.35</v>
      </c>
      <c r="D55" s="233">
        <f t="shared" ca="1" si="17"/>
        <v>-0.35</v>
      </c>
      <c r="E55" s="235">
        <f t="shared" ca="1" si="17"/>
        <v>-0.35</v>
      </c>
      <c r="F55" s="233">
        <f t="shared" ca="1" si="17"/>
        <v>0</v>
      </c>
      <c r="G55" s="233">
        <f t="shared" ca="1" si="17"/>
        <v>0</v>
      </c>
      <c r="H55" s="233">
        <f t="shared" ca="1" si="17"/>
        <v>-0.35</v>
      </c>
      <c r="I55" s="233">
        <f t="shared" ca="1" si="17"/>
        <v>-0.35</v>
      </c>
      <c r="J55" s="235">
        <f t="shared" ca="1" si="17"/>
        <v>-0.35</v>
      </c>
      <c r="K55" s="233">
        <f t="shared" ca="1" si="17"/>
        <v>-0.35</v>
      </c>
      <c r="L55" s="235">
        <f t="shared" ca="1" si="17"/>
        <v>-0.35</v>
      </c>
      <c r="M55" s="233">
        <f t="shared" ca="1" si="17"/>
        <v>0</v>
      </c>
      <c r="N55" s="233">
        <f t="shared" ca="1" si="17"/>
        <v>0</v>
      </c>
      <c r="O55" s="233">
        <f t="shared" ca="1" si="17"/>
        <v>-0.35</v>
      </c>
      <c r="P55" s="233">
        <f t="shared" ca="1" si="17"/>
        <v>-0.35</v>
      </c>
      <c r="Q55" s="235">
        <f t="shared" ca="1" si="17"/>
        <v>-0.35</v>
      </c>
      <c r="R55" s="233">
        <f t="shared" ca="1" si="17"/>
        <v>-0.35</v>
      </c>
      <c r="S55" s="235">
        <f t="shared" ca="1" si="17"/>
        <v>-0.35</v>
      </c>
      <c r="T55" s="235">
        <f t="shared" ca="1" si="17"/>
        <v>0</v>
      </c>
      <c r="U55" s="233">
        <f t="shared" ca="1" si="17"/>
        <v>0</v>
      </c>
      <c r="V55" s="233">
        <f t="shared" ca="1" si="17"/>
        <v>-0.35</v>
      </c>
      <c r="W55" s="233">
        <f t="shared" ca="1" si="17"/>
        <v>-0.35</v>
      </c>
      <c r="X55" s="235">
        <f t="shared" ca="1" si="17"/>
        <v>-0.35</v>
      </c>
      <c r="Y55" s="233">
        <f t="shared" ca="1" si="17"/>
        <v>-0.35</v>
      </c>
      <c r="Z55" s="236">
        <f t="shared" ca="1" si="17"/>
        <v>-0.35</v>
      </c>
      <c r="AA55" s="233">
        <f t="shared" ca="1" si="17"/>
        <v>0</v>
      </c>
      <c r="AB55" s="233">
        <f t="shared" ca="1" si="17"/>
        <v>0</v>
      </c>
      <c r="AC55" s="233">
        <f t="shared" ca="1" si="17"/>
        <v>-0.35</v>
      </c>
      <c r="AD55" s="233">
        <f t="shared" ca="1" si="17"/>
        <v>-0.35</v>
      </c>
      <c r="AE55" s="235">
        <f t="shared" ca="1" si="17"/>
        <v>-0.35</v>
      </c>
      <c r="AF55" s="233">
        <f t="shared" ca="1" si="17"/>
        <v>-0.35</v>
      </c>
      <c r="AG55" s="204" t="str">
        <f t="shared" si="2"/>
        <v>+/- SOLL/IST täglich</v>
      </c>
      <c r="AH55" s="217"/>
      <c r="AI55" s="237">
        <f ca="1">SUM(B55:AF55)</f>
        <v>-8.0499999999999972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-6.9999999999999973</v>
      </c>
      <c r="AM55" s="208"/>
      <c r="AN55" s="244">
        <f ca="1">IF(AH57="+",(AI55+AI57),(AI55-AI57))</f>
        <v>-8.0499999999999972</v>
      </c>
      <c r="AO55" s="244">
        <f ca="1">SUM(OFFSET(J.AZSaldo.Total,-12,0,MONTH(Monat.Tag1),1))</f>
        <v>-22.399999999999991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0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0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0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0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0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0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0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0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1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0.875</v>
      </c>
      <c r="AM67" s="208"/>
      <c r="AN67" s="244">
        <f ca="1">AK67+AL67-Monat.KomAZ.Total</f>
        <v>1.3125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>
        <f t="shared" ref="B82:AF82" ca="1" si="30">IF(B$12=0,"",IF(OR(WEEKDAY(B$10,2)&gt;5,B$11=0),
IF(T.50_NoVetsuisse,B45,
IF(OR(T.50_Vetsuisse,T.ServiceCenterIrchel,T.MedizinischeMikrobiologie),IF(B23-B73=0,"",B23-B73),
B60)),))</f>
        <v>0</v>
      </c>
      <c r="C82" s="278">
        <f t="shared" ca="1" si="30"/>
        <v>0</v>
      </c>
      <c r="D82" s="279">
        <f t="shared" ca="1" si="30"/>
        <v>0</v>
      </c>
      <c r="E82" s="278">
        <f t="shared" ca="1" si="30"/>
        <v>0</v>
      </c>
      <c r="F82" s="279" t="str">
        <f t="shared" ca="1" si="30"/>
        <v/>
      </c>
      <c r="G82" s="279" t="str">
        <f t="shared" ca="1" si="30"/>
        <v/>
      </c>
      <c r="H82" s="279">
        <f t="shared" ca="1" si="30"/>
        <v>0</v>
      </c>
      <c r="I82" s="279">
        <f t="shared" ca="1" si="30"/>
        <v>0</v>
      </c>
      <c r="J82" s="278">
        <f t="shared" ca="1" si="30"/>
        <v>0</v>
      </c>
      <c r="K82" s="279">
        <f t="shared" ca="1" si="30"/>
        <v>0</v>
      </c>
      <c r="L82" s="278">
        <f t="shared" ca="1" si="30"/>
        <v>0</v>
      </c>
      <c r="M82" s="279" t="str">
        <f t="shared" ca="1" si="30"/>
        <v/>
      </c>
      <c r="N82" s="279" t="str">
        <f t="shared" ca="1" si="30"/>
        <v/>
      </c>
      <c r="O82" s="279">
        <f t="shared" ca="1" si="30"/>
        <v>0</v>
      </c>
      <c r="P82" s="279">
        <f t="shared" ca="1" si="30"/>
        <v>0</v>
      </c>
      <c r="Q82" s="278">
        <f t="shared" ca="1" si="30"/>
        <v>0</v>
      </c>
      <c r="R82" s="279">
        <f t="shared" ca="1" si="30"/>
        <v>0</v>
      </c>
      <c r="S82" s="278">
        <f t="shared" ca="1" si="30"/>
        <v>0</v>
      </c>
      <c r="T82" s="278" t="str">
        <f t="shared" ca="1" si="30"/>
        <v/>
      </c>
      <c r="U82" s="279" t="str">
        <f t="shared" ca="1" si="30"/>
        <v/>
      </c>
      <c r="V82" s="279">
        <f t="shared" ca="1" si="30"/>
        <v>0</v>
      </c>
      <c r="W82" s="279">
        <f t="shared" ca="1" si="30"/>
        <v>0</v>
      </c>
      <c r="X82" s="278">
        <f t="shared" ca="1" si="30"/>
        <v>0</v>
      </c>
      <c r="Y82" s="279">
        <f t="shared" ca="1" si="30"/>
        <v>0</v>
      </c>
      <c r="Z82" s="280">
        <f t="shared" ca="1" si="30"/>
        <v>0</v>
      </c>
      <c r="AA82" s="279" t="str">
        <f t="shared" ca="1" si="30"/>
        <v/>
      </c>
      <c r="AB82" s="279" t="str">
        <f t="shared" ca="1" si="30"/>
        <v/>
      </c>
      <c r="AC82" s="279">
        <f t="shared" ca="1" si="30"/>
        <v>0</v>
      </c>
      <c r="AD82" s="279">
        <f t="shared" ca="1" si="30"/>
        <v>0</v>
      </c>
      <c r="AE82" s="278">
        <f t="shared" ca="1" si="30"/>
        <v>0</v>
      </c>
      <c r="AF82" s="279">
        <f t="shared" ca="1" si="30"/>
        <v>0</v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282" priority="16">
      <formula>ABS(B$114)&gt;=ROUND(1/24/60,9)</formula>
    </cfRule>
  </conditionalFormatting>
  <conditionalFormatting sqref="B13:AF22 B34:AF44 B25:AF30 B60:AF61 B67:AF67 B71:AF72 B84:AF84 B86:AF95 B97:AF111">
    <cfRule type="expression" dxfId="281" priority="14">
      <formula>WEEKDAY(B$10,2)&gt;5</formula>
    </cfRule>
    <cfRule type="expression" dxfId="280" priority="15">
      <formula>AND(NOT(ISERROR(MATCH(B$10,T.Feiertage.Bereich,0))),OFFSET(T.Feiertage.Bereich,MATCH(B$10,T.Feiertage.Bereich,0)-1,1,1,1)&gt;0)</formula>
    </cfRule>
    <cfRule type="expression" dxfId="279" priority="17">
      <formula>B$11=0</formula>
    </cfRule>
  </conditionalFormatting>
  <conditionalFormatting sqref="AN60:AO60">
    <cfRule type="expression" dxfId="278" priority="22">
      <formula>AND(T.50_Vetsuisse,AN60&gt;=T.GrenzeAngÜZ50_Vetsuisse)</formula>
    </cfRule>
    <cfRule type="expression" dxfId="277" priority="23">
      <formula>AND(T.50_Vetsuisse,AN60&gt;T.GrenzeAngÜZ50_Vetsuisse*T.AngÜZ50_Vetsuisse_orange)</formula>
    </cfRule>
  </conditionalFormatting>
  <conditionalFormatting sqref="B56:AF56">
    <cfRule type="expression" dxfId="276" priority="8">
      <formula>AND(B$10&gt;TODAY(),EB.UJAustritt="")</formula>
    </cfRule>
    <cfRule type="expression" dxfId="275" priority="9">
      <formula>B$56&gt;99.99/24</formula>
    </cfRule>
    <cfRule type="expression" dxfId="274" priority="11">
      <formula>B$56&lt;99.99/24*-1</formula>
    </cfRule>
  </conditionalFormatting>
  <conditionalFormatting sqref="AO55:AP55">
    <cfRule type="cellIs" dxfId="273" priority="24" operator="greaterThan">
      <formula>1/24/60</formula>
    </cfRule>
    <cfRule type="expression" dxfId="272" priority="25">
      <formula>AND(AO55&lt;=1/24/60*-1,TODAY()&gt;=DATE(EB.Jahr,MONTH(12),DAY(31)))</formula>
    </cfRule>
  </conditionalFormatting>
  <conditionalFormatting sqref="B56:AF56 AI58">
    <cfRule type="expression" dxfId="271" priority="10">
      <formula>B$56&gt;1/24/60</formula>
    </cfRule>
    <cfRule type="expression" dxfId="270" priority="12">
      <formula>AND(B$56&lt;=1/24/60*-1,B$56)</formula>
    </cfRule>
  </conditionalFormatting>
  <conditionalFormatting sqref="B14:AF22 B36:AF44 B26:AF30">
    <cfRule type="expression" dxfId="269" priority="6">
      <formula>AND(B14&lt;B13,B14&lt;&gt;"")</formula>
    </cfRule>
  </conditionalFormatting>
  <conditionalFormatting sqref="B72:AF73">
    <cfRule type="expression" dxfId="268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267" priority="18">
      <formula>$P$4&lt;&gt;""</formula>
    </cfRule>
  </conditionalFormatting>
  <conditionalFormatting sqref="V4">
    <cfRule type="expression" dxfId="266" priority="19">
      <formula>$V$4&lt;&gt;""</formula>
    </cfRule>
  </conditionalFormatting>
  <conditionalFormatting sqref="AP60">
    <cfRule type="expression" dxfId="265" priority="26">
      <formula>AND(T.50_Vetsuisse,AP60&gt;=T.GrenzeAngÜZ50_Vetsuisse)</formula>
    </cfRule>
    <cfRule type="expression" dxfId="264" priority="27">
      <formula>AND(T.50_Vetsuisse,AP60&gt;T.GrenzeAngÜZ50_Vetsuisse*T.AngÜZ50_Vetsuisse_orange)</formula>
    </cfRule>
  </conditionalFormatting>
  <conditionalFormatting sqref="AJ72:AJ73">
    <cfRule type="expression" dxfId="263" priority="20">
      <formula>AND(T.50_Vetsuisse,$AJ$72&lt;&gt;$AJ$73)</formula>
    </cfRule>
    <cfRule type="expression" dxfId="262" priority="21">
      <formula>$AJ$72&gt;$AJ$73</formula>
    </cfRule>
  </conditionalFormatting>
  <conditionalFormatting sqref="B55:AF55">
    <cfRule type="expression" dxfId="261" priority="7">
      <formula>AND(B$10&lt;=TODAY(),B$55&lt;1/24/60*-1)</formula>
    </cfRule>
  </conditionalFormatting>
  <conditionalFormatting sqref="AG67 AG84">
    <cfRule type="expression" dxfId="260" priority="5">
      <formula>AG67&lt;&gt;A67</formula>
    </cfRule>
  </conditionalFormatting>
  <conditionalFormatting sqref="B67:AF67">
    <cfRule type="expression" dxfId="259" priority="4">
      <formula>AND(B66=0,B67&gt;0)</formula>
    </cfRule>
  </conditionalFormatting>
  <conditionalFormatting sqref="B34:AF34">
    <cfRule type="expression" dxfId="258" priority="3">
      <formula>T.MedizinischeMikrobiologie</formula>
    </cfRule>
  </conditionalFormatting>
  <conditionalFormatting sqref="AK51">
    <cfRule type="expression" dxfId="257" priority="2">
      <formula>ISNUMBER(AK51)</formula>
    </cfRule>
  </conditionalFormatting>
  <conditionalFormatting sqref="AN51">
    <cfRule type="expression" dxfId="256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B0C9C305-8ABE-476D-9C91-0ACB9A2DE132}">
      <formula1>T.JaNein.Bereich</formula1>
    </dataValidation>
    <dataValidation type="list" allowBlank="1" showInputMessage="1" showErrorMessage="1" errorTitle="Pikett Bereitschaft" error="Bitte wählen Sie einen Wert aus der Liste." sqref="B34:AF34" xr:uid="{F97EB687-8C44-4E18-94A1-20469888A5EC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F973-3C10-43F8-AD44-02757B3373E0}">
  <sheetPr>
    <pageSetUpPr autoPageBreaks="0" fitToPage="1"/>
  </sheetPr>
  <dimension ref="A1:AP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1" width="5.75" style="50" customWidth="1"/>
    <col min="32" max="32" width="24.5" style="52" customWidth="1"/>
    <col min="33" max="33" width="2.125" style="53" customWidth="1"/>
    <col min="34" max="35" width="8.125" style="50" customWidth="1"/>
    <col min="36" max="36" width="15.875" style="50" hidden="1" customWidth="1" outlineLevel="1"/>
    <col min="37" max="38" width="14.25" style="50" hidden="1" customWidth="1" outlineLevel="1"/>
    <col min="39" max="39" width="9.375" style="37" customWidth="1" collapsed="1"/>
    <col min="40" max="41" width="8.125" style="50" customWidth="1"/>
    <col min="42" max="42" width="3.75" style="50" customWidth="1"/>
    <col min="43" max="16384" width="10.75" style="50"/>
  </cols>
  <sheetData>
    <row r="1" spans="1:42" s="54" customFormat="1" ht="22.5" customHeight="1" x14ac:dyDescent="0.2">
      <c r="A1" s="180" t="str">
        <f>INDEX(EB.Monate.Bereich,MONTH(Monat.Tag1)) &amp; " " &amp; EB.Jahr</f>
        <v>April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83"/>
      <c r="AG1" s="184"/>
      <c r="AH1" s="100"/>
      <c r="AI1" s="100"/>
      <c r="AJ1" s="100"/>
      <c r="AK1" s="100"/>
      <c r="AL1" s="100"/>
      <c r="AM1" s="439"/>
      <c r="AN1" s="497" t="str">
        <f>EB.Version</f>
        <v>Version 12.21</v>
      </c>
      <c r="AO1" s="497"/>
      <c r="AP1" s="102" t="str">
        <f>EB.Sprache</f>
        <v>DE</v>
      </c>
    </row>
    <row r="2" spans="1:42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05"/>
      <c r="AG2" s="187"/>
      <c r="AH2" s="118"/>
      <c r="AI2" s="118"/>
      <c r="AJ2" s="118"/>
      <c r="AK2" s="118"/>
      <c r="AL2" s="118"/>
      <c r="AM2" s="188"/>
      <c r="AN2" s="118"/>
      <c r="AO2" s="118"/>
      <c r="AP2" s="118"/>
    </row>
    <row r="3" spans="1:42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05"/>
      <c r="AG3" s="187"/>
      <c r="AH3" s="118"/>
      <c r="AI3" s="118"/>
      <c r="AJ3" s="118"/>
      <c r="AK3" s="118"/>
      <c r="AL3" s="118"/>
      <c r="AM3" s="188"/>
      <c r="AN3" s="118"/>
      <c r="AO3" s="118"/>
      <c r="AP3" s="118"/>
    </row>
    <row r="4" spans="1:42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05"/>
      <c r="AG4" s="187"/>
      <c r="AH4" s="118"/>
      <c r="AI4" s="118"/>
      <c r="AJ4" s="118"/>
      <c r="AK4" s="118"/>
      <c r="AL4" s="118"/>
      <c r="AM4" s="188"/>
      <c r="AN4" s="118"/>
      <c r="AO4" s="118"/>
      <c r="AP4" s="118"/>
    </row>
    <row r="5" spans="1:42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April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05"/>
      <c r="AG5" s="187"/>
      <c r="AH5" s="118"/>
      <c r="AI5" s="118"/>
      <c r="AJ5" s="118"/>
      <c r="AK5" s="118"/>
      <c r="AL5" s="118"/>
      <c r="AM5" s="188"/>
      <c r="AN5" s="118"/>
      <c r="AO5" s="118"/>
      <c r="AP5" s="118"/>
    </row>
    <row r="6" spans="1:42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05"/>
      <c r="AG6" s="187"/>
      <c r="AH6" s="118"/>
      <c r="AI6" s="118"/>
      <c r="AJ6" s="118"/>
      <c r="AK6" s="118"/>
      <c r="AL6" s="118"/>
      <c r="AM6" s="188"/>
      <c r="AN6" s="118"/>
      <c r="AO6" s="118"/>
      <c r="AP6" s="118"/>
    </row>
    <row r="7" spans="1:42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05"/>
      <c r="AG7" s="187"/>
      <c r="AH7" s="118"/>
      <c r="AI7" s="118"/>
      <c r="AJ7" s="118"/>
      <c r="AK7" s="118"/>
      <c r="AL7" s="118"/>
      <c r="AM7" s="188"/>
      <c r="AN7" s="118"/>
      <c r="AO7" s="118"/>
      <c r="AP7" s="118"/>
    </row>
    <row r="8" spans="1:42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05"/>
      <c r="AG8" s="187"/>
      <c r="AH8" s="118"/>
      <c r="AI8" s="118"/>
      <c r="AJ8" s="118"/>
      <c r="AK8" s="118"/>
      <c r="AL8" s="118"/>
      <c r="AM8" s="188"/>
      <c r="AN8" s="118"/>
      <c r="AO8" s="118"/>
      <c r="AP8" s="118"/>
    </row>
    <row r="9" spans="1:42" s="38" customFormat="1" ht="15" customHeight="1" x14ac:dyDescent="0.2">
      <c r="A9" s="134"/>
      <c r="B9" s="194" t="str">
        <f t="shared" ref="B9:AE9" si="0">INDEX(Monat.Wochentage.Bereich,1,WEEKDAY(B10,2))</f>
        <v>Fr</v>
      </c>
      <c r="C9" s="194" t="str">
        <f t="shared" si="0"/>
        <v>Sa</v>
      </c>
      <c r="D9" s="194" t="str">
        <f t="shared" si="0"/>
        <v>So</v>
      </c>
      <c r="E9" s="194" t="str">
        <f t="shared" si="0"/>
        <v>Mo</v>
      </c>
      <c r="F9" s="194" t="str">
        <f t="shared" si="0"/>
        <v>Di</v>
      </c>
      <c r="G9" s="194" t="str">
        <f t="shared" si="0"/>
        <v>Mi</v>
      </c>
      <c r="H9" s="194" t="str">
        <f t="shared" si="0"/>
        <v>Do</v>
      </c>
      <c r="I9" s="194" t="str">
        <f t="shared" si="0"/>
        <v>Fr</v>
      </c>
      <c r="J9" s="194" t="str">
        <f t="shared" si="0"/>
        <v>Sa</v>
      </c>
      <c r="K9" s="194" t="str">
        <f t="shared" si="0"/>
        <v>So</v>
      </c>
      <c r="L9" s="194" t="str">
        <f t="shared" si="0"/>
        <v>Mo</v>
      </c>
      <c r="M9" s="194" t="str">
        <f t="shared" si="0"/>
        <v>Di</v>
      </c>
      <c r="N9" s="194" t="str">
        <f t="shared" si="0"/>
        <v>Mi</v>
      </c>
      <c r="O9" s="194" t="str">
        <f t="shared" si="0"/>
        <v>Do</v>
      </c>
      <c r="P9" s="194" t="str">
        <f t="shared" si="0"/>
        <v>Fr</v>
      </c>
      <c r="Q9" s="194" t="str">
        <f t="shared" si="0"/>
        <v>Sa</v>
      </c>
      <c r="R9" s="194" t="str">
        <f t="shared" si="0"/>
        <v>So</v>
      </c>
      <c r="S9" s="194" t="str">
        <f t="shared" si="0"/>
        <v>Mo</v>
      </c>
      <c r="T9" s="194" t="str">
        <f t="shared" si="0"/>
        <v>Di</v>
      </c>
      <c r="U9" s="194" t="str">
        <f t="shared" si="0"/>
        <v>Mi</v>
      </c>
      <c r="V9" s="194" t="str">
        <f t="shared" si="0"/>
        <v>Do</v>
      </c>
      <c r="W9" s="194" t="str">
        <f t="shared" si="0"/>
        <v>Fr</v>
      </c>
      <c r="X9" s="194" t="str">
        <f t="shared" si="0"/>
        <v>Sa</v>
      </c>
      <c r="Y9" s="194" t="str">
        <f t="shared" si="0"/>
        <v>So</v>
      </c>
      <c r="Z9" s="194" t="str">
        <f t="shared" si="0"/>
        <v>Mo</v>
      </c>
      <c r="AA9" s="194" t="str">
        <f t="shared" si="0"/>
        <v>Di</v>
      </c>
      <c r="AB9" s="194" t="str">
        <f t="shared" si="0"/>
        <v>Mi</v>
      </c>
      <c r="AC9" s="194" t="str">
        <f t="shared" si="0"/>
        <v>Do</v>
      </c>
      <c r="AD9" s="194" t="str">
        <f t="shared" si="0"/>
        <v>Fr</v>
      </c>
      <c r="AE9" s="194" t="str">
        <f t="shared" si="0"/>
        <v>Sa</v>
      </c>
      <c r="AF9" s="105"/>
      <c r="AG9" s="187"/>
      <c r="AH9" s="118"/>
      <c r="AI9" s="118"/>
      <c r="AJ9" s="118"/>
      <c r="AK9" s="118"/>
      <c r="AL9" s="118"/>
      <c r="AM9" s="188"/>
      <c r="AN9" s="118"/>
      <c r="AO9" s="118"/>
      <c r="AP9" s="118"/>
    </row>
    <row r="10" spans="1:42" s="59" customFormat="1" ht="25.5" x14ac:dyDescent="0.2">
      <c r="A10" s="195" t="s">
        <v>15</v>
      </c>
      <c r="B10" s="196">
        <v>43190</v>
      </c>
      <c r="C10" s="196">
        <f>B10+1</f>
        <v>43191</v>
      </c>
      <c r="D10" s="196">
        <f t="shared" ref="D10:AE10" si="1">C10+1</f>
        <v>43192</v>
      </c>
      <c r="E10" s="196">
        <f t="shared" si="1"/>
        <v>43193</v>
      </c>
      <c r="F10" s="196">
        <f t="shared" si="1"/>
        <v>43194</v>
      </c>
      <c r="G10" s="196">
        <f t="shared" si="1"/>
        <v>43195</v>
      </c>
      <c r="H10" s="196">
        <f t="shared" si="1"/>
        <v>43196</v>
      </c>
      <c r="I10" s="196">
        <f t="shared" si="1"/>
        <v>43197</v>
      </c>
      <c r="J10" s="196">
        <f t="shared" si="1"/>
        <v>43198</v>
      </c>
      <c r="K10" s="196">
        <f t="shared" si="1"/>
        <v>43199</v>
      </c>
      <c r="L10" s="196">
        <f t="shared" si="1"/>
        <v>43200</v>
      </c>
      <c r="M10" s="196">
        <f t="shared" si="1"/>
        <v>43201</v>
      </c>
      <c r="N10" s="196">
        <f t="shared" si="1"/>
        <v>43202</v>
      </c>
      <c r="O10" s="196">
        <f t="shared" si="1"/>
        <v>43203</v>
      </c>
      <c r="P10" s="196">
        <f t="shared" si="1"/>
        <v>43204</v>
      </c>
      <c r="Q10" s="196">
        <f t="shared" si="1"/>
        <v>43205</v>
      </c>
      <c r="R10" s="196">
        <f t="shared" si="1"/>
        <v>43206</v>
      </c>
      <c r="S10" s="196">
        <f t="shared" si="1"/>
        <v>43207</v>
      </c>
      <c r="T10" s="196">
        <f t="shared" si="1"/>
        <v>43208</v>
      </c>
      <c r="U10" s="196">
        <f t="shared" si="1"/>
        <v>43209</v>
      </c>
      <c r="V10" s="196">
        <f t="shared" si="1"/>
        <v>43210</v>
      </c>
      <c r="W10" s="196">
        <f t="shared" si="1"/>
        <v>43211</v>
      </c>
      <c r="X10" s="196">
        <f t="shared" si="1"/>
        <v>43212</v>
      </c>
      <c r="Y10" s="196">
        <f t="shared" si="1"/>
        <v>43213</v>
      </c>
      <c r="Z10" s="196">
        <f t="shared" si="1"/>
        <v>43214</v>
      </c>
      <c r="AA10" s="196">
        <f t="shared" si="1"/>
        <v>43215</v>
      </c>
      <c r="AB10" s="196">
        <f t="shared" si="1"/>
        <v>43216</v>
      </c>
      <c r="AC10" s="196">
        <f t="shared" si="1"/>
        <v>43217</v>
      </c>
      <c r="AD10" s="196">
        <f t="shared" si="1"/>
        <v>43218</v>
      </c>
      <c r="AE10" s="196">
        <f t="shared" si="1"/>
        <v>43219</v>
      </c>
      <c r="AF10" s="197" t="str">
        <f>A10</f>
        <v>Tag</v>
      </c>
      <c r="AG10" s="485" t="str">
        <f>"Total " &amp; INDEX(EB.Monate.Bereich,MONTH(Monat.Tag1))</f>
        <v>Total April</v>
      </c>
      <c r="AH10" s="486"/>
      <c r="AI10" s="440" t="s">
        <v>232</v>
      </c>
      <c r="AJ10" s="198" t="s">
        <v>141</v>
      </c>
      <c r="AK10" s="198" t="s">
        <v>32</v>
      </c>
      <c r="AL10" s="198" t="s">
        <v>224</v>
      </c>
      <c r="AM10" s="199" t="s">
        <v>35</v>
      </c>
      <c r="AN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O10" s="488"/>
      <c r="AP10" s="200"/>
    </row>
    <row r="11" spans="1:42" s="59" customFormat="1" ht="12" hidden="1" customHeight="1" x14ac:dyDescent="0.2">
      <c r="A11" s="195" t="s">
        <v>181</v>
      </c>
      <c r="B11" s="201">
        <f t="shared" ref="B11:AE11" ca="1" si="2">IFERROR(OFFSET(T.Feiertage.Bereich,MATCH(B$10,T.Feiertage.Bereich,0)-1,1,1,1),1)</f>
        <v>1</v>
      </c>
      <c r="C11" s="201">
        <f t="shared" ca="1" si="2"/>
        <v>1</v>
      </c>
      <c r="D11" s="201">
        <f t="shared" ca="1" si="2"/>
        <v>1</v>
      </c>
      <c r="E11" s="202">
        <f t="shared" ca="1" si="2"/>
        <v>1</v>
      </c>
      <c r="F11" s="201">
        <f t="shared" ca="1" si="2"/>
        <v>1</v>
      </c>
      <c r="G11" s="201">
        <f t="shared" ca="1" si="2"/>
        <v>1</v>
      </c>
      <c r="H11" s="201">
        <f t="shared" ca="1" si="2"/>
        <v>1</v>
      </c>
      <c r="I11" s="201">
        <f t="shared" ca="1" si="2"/>
        <v>1</v>
      </c>
      <c r="J11" s="202">
        <f t="shared" ca="1" si="2"/>
        <v>1</v>
      </c>
      <c r="K11" s="201">
        <f t="shared" ca="1" si="2"/>
        <v>1</v>
      </c>
      <c r="L11" s="202">
        <f t="shared" ca="1" si="2"/>
        <v>1</v>
      </c>
      <c r="M11" s="201">
        <f t="shared" ca="1" si="2"/>
        <v>1</v>
      </c>
      <c r="N11" s="201">
        <f t="shared" ca="1" si="2"/>
        <v>1</v>
      </c>
      <c r="O11" s="201">
        <f t="shared" ca="1" si="2"/>
        <v>0.7142857142857143</v>
      </c>
      <c r="P11" s="201">
        <f t="shared" ca="1" si="2"/>
        <v>0</v>
      </c>
      <c r="Q11" s="202">
        <f t="shared" ca="1" si="2"/>
        <v>1</v>
      </c>
      <c r="R11" s="201">
        <f t="shared" ca="1" si="2"/>
        <v>1</v>
      </c>
      <c r="S11" s="202">
        <f t="shared" ca="1" si="2"/>
        <v>0</v>
      </c>
      <c r="T11" s="202">
        <f t="shared" ca="1" si="2"/>
        <v>1</v>
      </c>
      <c r="U11" s="201">
        <f t="shared" ca="1" si="2"/>
        <v>1</v>
      </c>
      <c r="V11" s="201">
        <f t="shared" ca="1" si="2"/>
        <v>1</v>
      </c>
      <c r="W11" s="201">
        <f t="shared" ca="1" si="2"/>
        <v>1</v>
      </c>
      <c r="X11" s="202">
        <f t="shared" ca="1" si="2"/>
        <v>1</v>
      </c>
      <c r="Y11" s="201">
        <f t="shared" ca="1" si="2"/>
        <v>1</v>
      </c>
      <c r="Z11" s="203">
        <f t="shared" ca="1" si="2"/>
        <v>0.5</v>
      </c>
      <c r="AA11" s="201">
        <f t="shared" ca="1" si="2"/>
        <v>1</v>
      </c>
      <c r="AB11" s="201">
        <f t="shared" ca="1" si="2"/>
        <v>1</v>
      </c>
      <c r="AC11" s="201">
        <f t="shared" ca="1" si="2"/>
        <v>1</v>
      </c>
      <c r="AD11" s="201">
        <f t="shared" ca="1" si="2"/>
        <v>1</v>
      </c>
      <c r="AE11" s="202">
        <f t="shared" ca="1" si="2"/>
        <v>1</v>
      </c>
      <c r="AF11" s="204"/>
      <c r="AG11" s="187"/>
      <c r="AH11" s="205"/>
      <c r="AI11" s="206"/>
      <c r="AJ11" s="207"/>
      <c r="AK11" s="208"/>
      <c r="AL11" s="208"/>
      <c r="AM11" s="207"/>
      <c r="AN11" s="208"/>
      <c r="AO11" s="208"/>
      <c r="AP11" s="200"/>
    </row>
    <row r="12" spans="1:42" s="59" customFormat="1" ht="12" hidden="1" customHeight="1" x14ac:dyDescent="0.2">
      <c r="A12" s="195" t="s">
        <v>191</v>
      </c>
      <c r="B12" s="209">
        <f t="shared" ref="B12:AE12" si="3">IF(OR(AND(ISNUMBER(EB.UJEintritt),EB.UJEintritt&gt;=B$10+1),AND(ISNUMBER(EB.UJAustritt),EB.UJAustritt&lt;=B$10-1)),0,1)</f>
        <v>1</v>
      </c>
      <c r="C12" s="209">
        <f t="shared" si="3"/>
        <v>1</v>
      </c>
      <c r="D12" s="209">
        <f t="shared" si="3"/>
        <v>1</v>
      </c>
      <c r="E12" s="194">
        <f t="shared" si="3"/>
        <v>1</v>
      </c>
      <c r="F12" s="209">
        <f t="shared" si="3"/>
        <v>1</v>
      </c>
      <c r="G12" s="209">
        <f t="shared" si="3"/>
        <v>1</v>
      </c>
      <c r="H12" s="209">
        <f t="shared" si="3"/>
        <v>1</v>
      </c>
      <c r="I12" s="209">
        <f t="shared" si="3"/>
        <v>1</v>
      </c>
      <c r="J12" s="194">
        <f t="shared" si="3"/>
        <v>1</v>
      </c>
      <c r="K12" s="209">
        <f t="shared" si="3"/>
        <v>1</v>
      </c>
      <c r="L12" s="194">
        <f t="shared" si="3"/>
        <v>1</v>
      </c>
      <c r="M12" s="209">
        <f t="shared" si="3"/>
        <v>1</v>
      </c>
      <c r="N12" s="209">
        <f t="shared" si="3"/>
        <v>1</v>
      </c>
      <c r="O12" s="209">
        <f t="shared" si="3"/>
        <v>1</v>
      </c>
      <c r="P12" s="209">
        <f t="shared" si="3"/>
        <v>1</v>
      </c>
      <c r="Q12" s="194">
        <f t="shared" si="3"/>
        <v>1</v>
      </c>
      <c r="R12" s="209">
        <f t="shared" si="3"/>
        <v>1</v>
      </c>
      <c r="S12" s="194">
        <f t="shared" si="3"/>
        <v>1</v>
      </c>
      <c r="T12" s="194">
        <f t="shared" si="3"/>
        <v>1</v>
      </c>
      <c r="U12" s="209">
        <f t="shared" si="3"/>
        <v>1</v>
      </c>
      <c r="V12" s="209">
        <f t="shared" si="3"/>
        <v>1</v>
      </c>
      <c r="W12" s="209">
        <f t="shared" si="3"/>
        <v>1</v>
      </c>
      <c r="X12" s="194">
        <f t="shared" si="3"/>
        <v>1</v>
      </c>
      <c r="Y12" s="209">
        <f t="shared" si="3"/>
        <v>1</v>
      </c>
      <c r="Z12" s="210">
        <f t="shared" si="3"/>
        <v>1</v>
      </c>
      <c r="AA12" s="209">
        <f t="shared" si="3"/>
        <v>1</v>
      </c>
      <c r="AB12" s="209">
        <f t="shared" si="3"/>
        <v>1</v>
      </c>
      <c r="AC12" s="209">
        <f t="shared" si="3"/>
        <v>1</v>
      </c>
      <c r="AD12" s="209">
        <f t="shared" si="3"/>
        <v>1</v>
      </c>
      <c r="AE12" s="194">
        <f t="shared" si="3"/>
        <v>1</v>
      </c>
      <c r="AF12" s="204"/>
      <c r="AG12" s="187"/>
      <c r="AH12" s="205"/>
      <c r="AI12" s="206"/>
      <c r="AJ12" s="207"/>
      <c r="AK12" s="208"/>
      <c r="AL12" s="208"/>
      <c r="AM12" s="207"/>
      <c r="AN12" s="208"/>
      <c r="AO12" s="208"/>
      <c r="AP12" s="200"/>
    </row>
    <row r="13" spans="1:42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204" t="str">
        <f t="shared" ref="AF13:AF23" si="4">A13</f>
        <v>ein</v>
      </c>
      <c r="AG13" s="187"/>
      <c r="AH13" s="205"/>
      <c r="AI13" s="206"/>
      <c r="AJ13" s="207"/>
      <c r="AK13" s="208"/>
      <c r="AL13" s="208"/>
      <c r="AM13" s="207"/>
      <c r="AN13" s="208"/>
      <c r="AO13" s="208"/>
      <c r="AP13" s="118"/>
    </row>
    <row r="14" spans="1:42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204" t="str">
        <f t="shared" si="4"/>
        <v>aus</v>
      </c>
      <c r="AG14" s="187"/>
      <c r="AH14" s="205"/>
      <c r="AI14" s="206"/>
      <c r="AJ14" s="207"/>
      <c r="AK14" s="208"/>
      <c r="AL14" s="208"/>
      <c r="AM14" s="207"/>
      <c r="AN14" s="208"/>
      <c r="AO14" s="208"/>
      <c r="AP14" s="118"/>
    </row>
    <row r="15" spans="1:42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204" t="str">
        <f t="shared" si="4"/>
        <v>ein</v>
      </c>
      <c r="AG15" s="187"/>
      <c r="AH15" s="205"/>
      <c r="AI15" s="206"/>
      <c r="AJ15" s="207"/>
      <c r="AK15" s="208"/>
      <c r="AL15" s="208"/>
      <c r="AM15" s="207"/>
      <c r="AN15" s="208"/>
      <c r="AO15" s="208"/>
      <c r="AP15" s="118"/>
    </row>
    <row r="16" spans="1:42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204" t="str">
        <f t="shared" si="4"/>
        <v>aus</v>
      </c>
      <c r="AG16" s="187"/>
      <c r="AH16" s="212"/>
      <c r="AI16" s="213"/>
      <c r="AJ16" s="208"/>
      <c r="AK16" s="208"/>
      <c r="AL16" s="208"/>
      <c r="AM16" s="207"/>
      <c r="AN16" s="208"/>
      <c r="AO16" s="208"/>
      <c r="AP16" s="118"/>
    </row>
    <row r="17" spans="1:42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204" t="str">
        <f t="shared" si="4"/>
        <v>ein</v>
      </c>
      <c r="AG17" s="187"/>
      <c r="AH17" s="212"/>
      <c r="AI17" s="213"/>
      <c r="AJ17" s="208"/>
      <c r="AK17" s="208"/>
      <c r="AL17" s="208"/>
      <c r="AM17" s="207"/>
      <c r="AN17" s="208"/>
      <c r="AO17" s="208"/>
      <c r="AP17" s="118"/>
    </row>
    <row r="18" spans="1:42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204" t="str">
        <f t="shared" si="4"/>
        <v>aus</v>
      </c>
      <c r="AG18" s="187"/>
      <c r="AH18" s="212"/>
      <c r="AI18" s="213"/>
      <c r="AJ18" s="208"/>
      <c r="AK18" s="208"/>
      <c r="AL18" s="208"/>
      <c r="AM18" s="207"/>
      <c r="AN18" s="208"/>
      <c r="AO18" s="208"/>
      <c r="AP18" s="118"/>
    </row>
    <row r="19" spans="1:42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204" t="str">
        <f t="shared" si="4"/>
        <v>ein</v>
      </c>
      <c r="AG19" s="187"/>
      <c r="AH19" s="212"/>
      <c r="AI19" s="213"/>
      <c r="AJ19" s="208"/>
      <c r="AK19" s="208"/>
      <c r="AL19" s="208"/>
      <c r="AM19" s="207"/>
      <c r="AN19" s="208"/>
      <c r="AO19" s="208"/>
      <c r="AP19" s="118"/>
    </row>
    <row r="20" spans="1:42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204" t="str">
        <f t="shared" si="4"/>
        <v>aus</v>
      </c>
      <c r="AG20" s="187"/>
      <c r="AH20" s="212"/>
      <c r="AI20" s="213"/>
      <c r="AJ20" s="208"/>
      <c r="AK20" s="208"/>
      <c r="AL20" s="208"/>
      <c r="AM20" s="207"/>
      <c r="AN20" s="208"/>
      <c r="AO20" s="208"/>
      <c r="AP20" s="118"/>
    </row>
    <row r="21" spans="1:42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204" t="str">
        <f t="shared" si="4"/>
        <v>ein</v>
      </c>
      <c r="AG21" s="187"/>
      <c r="AH21" s="212"/>
      <c r="AI21" s="213"/>
      <c r="AJ21" s="208"/>
      <c r="AK21" s="208"/>
      <c r="AL21" s="208"/>
      <c r="AM21" s="207"/>
      <c r="AN21" s="208"/>
      <c r="AO21" s="208"/>
      <c r="AP21" s="118"/>
    </row>
    <row r="22" spans="1:42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204" t="str">
        <f t="shared" si="4"/>
        <v>aus</v>
      </c>
      <c r="AG22" s="187"/>
      <c r="AH22" s="212"/>
      <c r="AI22" s="213"/>
      <c r="AJ22" s="208"/>
      <c r="AK22" s="208"/>
      <c r="AL22" s="208"/>
      <c r="AM22" s="207"/>
      <c r="AN22" s="208"/>
      <c r="AO22" s="208"/>
      <c r="AP22" s="118"/>
    </row>
    <row r="23" spans="1:42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E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6" t="str">
        <f t="shared" si="4"/>
        <v>Total ein/aus</v>
      </c>
      <c r="AG23" s="217"/>
      <c r="AH23" s="218">
        <f>SUM(B23:AE23)</f>
        <v>0</v>
      </c>
      <c r="AI23" s="213"/>
      <c r="AJ23" s="208"/>
      <c r="AK23" s="208"/>
      <c r="AL23" s="208"/>
      <c r="AM23" s="207"/>
      <c r="AN23" s="208"/>
      <c r="AO23" s="208"/>
      <c r="AP23" s="118"/>
    </row>
    <row r="24" spans="1:42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04"/>
      <c r="AG24" s="187"/>
      <c r="AH24" s="212"/>
      <c r="AI24" s="213"/>
      <c r="AJ24" s="208"/>
      <c r="AK24" s="208"/>
      <c r="AL24" s="208"/>
      <c r="AM24" s="207"/>
      <c r="AN24" s="208"/>
      <c r="AO24" s="208"/>
      <c r="AP24" s="118"/>
    </row>
    <row r="25" spans="1:42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204" t="str">
        <f t="shared" ref="AF25:AF30" si="6">A25</f>
        <v>bezahlte Pause ein</v>
      </c>
      <c r="AG25" s="187"/>
      <c r="AH25" s="212"/>
      <c r="AI25" s="213"/>
      <c r="AJ25" s="208"/>
      <c r="AK25" s="208"/>
      <c r="AL25" s="208"/>
      <c r="AM25" s="207"/>
      <c r="AN25" s="208"/>
      <c r="AO25" s="208"/>
      <c r="AP25" s="118"/>
    </row>
    <row r="26" spans="1:42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204" t="str">
        <f t="shared" si="6"/>
        <v>bezahlte Pause aus</v>
      </c>
      <c r="AG26" s="187"/>
      <c r="AH26" s="212"/>
      <c r="AI26" s="213"/>
      <c r="AJ26" s="208"/>
      <c r="AK26" s="208"/>
      <c r="AL26" s="208"/>
      <c r="AM26" s="207"/>
      <c r="AN26" s="208"/>
      <c r="AO26" s="208"/>
      <c r="AP26" s="118"/>
    </row>
    <row r="27" spans="1:42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204" t="str">
        <f t="shared" si="6"/>
        <v>bezahlte Pause ein</v>
      </c>
      <c r="AG27" s="187"/>
      <c r="AH27" s="212"/>
      <c r="AI27" s="213"/>
      <c r="AJ27" s="208"/>
      <c r="AK27" s="208"/>
      <c r="AL27" s="208"/>
      <c r="AM27" s="207"/>
      <c r="AN27" s="208"/>
      <c r="AO27" s="208"/>
      <c r="AP27" s="118"/>
    </row>
    <row r="28" spans="1:42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204" t="str">
        <f t="shared" si="6"/>
        <v>bezahlte Pause aus</v>
      </c>
      <c r="AG28" s="187"/>
      <c r="AH28" s="212"/>
      <c r="AI28" s="213"/>
      <c r="AJ28" s="208"/>
      <c r="AK28" s="208"/>
      <c r="AL28" s="208"/>
      <c r="AM28" s="207"/>
      <c r="AN28" s="208"/>
      <c r="AO28" s="208"/>
      <c r="AP28" s="118"/>
    </row>
    <row r="29" spans="1:42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204" t="str">
        <f t="shared" si="6"/>
        <v>bezahlte Pause ein</v>
      </c>
      <c r="AG29" s="187"/>
      <c r="AH29" s="212"/>
      <c r="AI29" s="213"/>
      <c r="AJ29" s="208"/>
      <c r="AK29" s="208"/>
      <c r="AL29" s="208"/>
      <c r="AM29" s="207"/>
      <c r="AN29" s="208"/>
      <c r="AO29" s="208"/>
      <c r="AP29" s="118"/>
    </row>
    <row r="30" spans="1:42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204" t="str">
        <f t="shared" si="6"/>
        <v>bezahlte Pause aus</v>
      </c>
      <c r="AG30" s="187"/>
      <c r="AH30" s="212"/>
      <c r="AI30" s="213"/>
      <c r="AJ30" s="208"/>
      <c r="AK30" s="208"/>
      <c r="AL30" s="208"/>
      <c r="AM30" s="207"/>
      <c r="AN30" s="208"/>
      <c r="AO30" s="208"/>
      <c r="AP30" s="118"/>
    </row>
    <row r="31" spans="1:42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04"/>
      <c r="AG31" s="187"/>
      <c r="AH31" s="212"/>
      <c r="AI31" s="213"/>
      <c r="AJ31" s="208"/>
      <c r="AK31" s="208"/>
      <c r="AL31" s="208"/>
      <c r="AM31" s="207"/>
      <c r="AN31" s="208"/>
      <c r="AO31" s="208"/>
      <c r="AP31" s="118"/>
    </row>
    <row r="32" spans="1:42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E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16" t="str">
        <f>A32</f>
        <v>Total Pausen (ein aus/bez.)</v>
      </c>
      <c r="AG32" s="217"/>
      <c r="AH32" s="218">
        <f>SUM(B32:AE32)</f>
        <v>0</v>
      </c>
      <c r="AI32" s="213"/>
      <c r="AJ32" s="208"/>
      <c r="AK32" s="208"/>
      <c r="AL32" s="208"/>
      <c r="AM32" s="207"/>
      <c r="AN32" s="208"/>
      <c r="AO32" s="208"/>
      <c r="AP32" s="118"/>
    </row>
    <row r="33" spans="1:42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04"/>
      <c r="AG33" s="187"/>
      <c r="AH33" s="212"/>
      <c r="AI33" s="213"/>
      <c r="AJ33" s="208"/>
      <c r="AK33" s="208"/>
      <c r="AL33" s="208"/>
      <c r="AM33" s="207"/>
      <c r="AN33" s="208"/>
      <c r="AO33" s="208"/>
      <c r="AP33" s="118"/>
    </row>
    <row r="34" spans="1:42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G34" s="227"/>
      <c r="AH34" s="223"/>
      <c r="AI34" s="228" t="str">
        <f ca="1">IF(T.50_Vetsuisse,IFERROR(SUMPRODUCT((B34:AE34=INDEX(T.Pikett.Bereich,4))*((B49:AE49)&lt;1/24*5)),0) &amp; " / " &amp; IFERROR(SUMPRODUCT((B34:AE34=INDEX(T.Pikett.Bereich,4))*((B49:AE49)&gt;=1/24*5)),0) &amp; " / " &amp; IFERROR(SUMPRODUCT((B34:AE34=INDEX(T.Pikett.Bereich,4))*((B49:AE49)&lt;1/24*5)),0) + IFERROR(SUMPRODUCT((B34:AE34=INDEX(T.Pikett.Bereich,4))*((B49:AE49)&gt;=1/24*5)),0),
IFERROR(SUMPRODUCT((B34:AE34=INDEX(T.Pikett.Bereich,4))*(WEEKDAY(B10:AE10,2)&lt;6)*(B11:AE11&lt;&gt;0)),0) &amp; " / " &amp; IFERROR(SUMPRODUCT((B34:AE34=INDEX(T.Pikett.Bereich,4))*(WEEKDAY(B10:AE10,2)&gt;5)*(B11:AE11&lt;&gt;0))+SUMPRODUCT((B34:AE34=INDEX(T.Pikett.Bereich,4))*(B11:AE11=0)),0) &amp; " / " &amp; IFERROR(SUMPRODUCT((B34:AE34=INDEX(T.Pikett.Bereich,4))*(WEEKDAY(B10:AE10,2)&lt;6)*(B11:AE11&lt;&gt;0)),0) + IFERROR(SUMPRODUCT((B34:AE34=INDEX(T.Pikett.Bereich,4))*(WEEKDAY(B10:AE10,2)&gt;5)*(B11:AE11&lt;&gt;0))+SUMPRODUCT((B34:AE34=INDEX(T.Pikett.Bereich,4))*(B11:AE11=0)),0))</f>
        <v>0 / 0 / 0</v>
      </c>
      <c r="AJ34" s="208"/>
      <c r="AK34" s="208"/>
      <c r="AL34" s="208"/>
      <c r="AM34" s="207"/>
      <c r="AN34" s="208"/>
      <c r="AO34" s="208"/>
      <c r="AP34" s="118"/>
    </row>
    <row r="35" spans="1:42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204" t="str">
        <f t="shared" ref="AF35:AF45" si="8">A35</f>
        <v>ein</v>
      </c>
      <c r="AG35" s="187"/>
      <c r="AH35" s="212"/>
      <c r="AI35" s="213"/>
      <c r="AJ35" s="208"/>
      <c r="AK35" s="208"/>
      <c r="AL35" s="208"/>
      <c r="AM35" s="207"/>
      <c r="AN35" s="208"/>
      <c r="AO35" s="208"/>
      <c r="AP35" s="118"/>
    </row>
    <row r="36" spans="1:42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204" t="str">
        <f t="shared" si="8"/>
        <v>aus</v>
      </c>
      <c r="AG36" s="187"/>
      <c r="AH36" s="212"/>
      <c r="AI36" s="213"/>
      <c r="AJ36" s="208"/>
      <c r="AK36" s="208"/>
      <c r="AL36" s="208"/>
      <c r="AM36" s="207"/>
      <c r="AN36" s="208"/>
      <c r="AO36" s="208"/>
      <c r="AP36" s="118"/>
    </row>
    <row r="37" spans="1:42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204" t="str">
        <f t="shared" si="8"/>
        <v>ein</v>
      </c>
      <c r="AG37" s="187"/>
      <c r="AH37" s="212"/>
      <c r="AI37" s="213"/>
      <c r="AJ37" s="208"/>
      <c r="AK37" s="208"/>
      <c r="AL37" s="208"/>
      <c r="AM37" s="207"/>
      <c r="AN37" s="208"/>
      <c r="AO37" s="208"/>
      <c r="AP37" s="118"/>
    </row>
    <row r="38" spans="1:42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204" t="str">
        <f t="shared" si="8"/>
        <v>aus</v>
      </c>
      <c r="AG38" s="187"/>
      <c r="AH38" s="212"/>
      <c r="AI38" s="213"/>
      <c r="AJ38" s="208"/>
      <c r="AK38" s="208"/>
      <c r="AL38" s="208"/>
      <c r="AM38" s="207"/>
      <c r="AN38" s="208"/>
      <c r="AO38" s="208"/>
      <c r="AP38" s="118"/>
    </row>
    <row r="39" spans="1:42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204" t="str">
        <f t="shared" si="8"/>
        <v>ein</v>
      </c>
      <c r="AG39" s="187"/>
      <c r="AH39" s="212"/>
      <c r="AI39" s="213"/>
      <c r="AJ39" s="208"/>
      <c r="AK39" s="208"/>
      <c r="AL39" s="208"/>
      <c r="AM39" s="207"/>
      <c r="AN39" s="208"/>
      <c r="AO39" s="208"/>
      <c r="AP39" s="118"/>
    </row>
    <row r="40" spans="1:42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204" t="str">
        <f t="shared" si="8"/>
        <v>aus</v>
      </c>
      <c r="AG40" s="187"/>
      <c r="AH40" s="212"/>
      <c r="AI40" s="213"/>
      <c r="AJ40" s="208"/>
      <c r="AK40" s="208"/>
      <c r="AL40" s="208"/>
      <c r="AM40" s="207"/>
      <c r="AN40" s="208"/>
      <c r="AO40" s="208"/>
      <c r="AP40" s="118"/>
    </row>
    <row r="41" spans="1:42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204" t="str">
        <f t="shared" si="8"/>
        <v>ein</v>
      </c>
      <c r="AG41" s="187"/>
      <c r="AH41" s="212"/>
      <c r="AI41" s="213"/>
      <c r="AJ41" s="208"/>
      <c r="AK41" s="208"/>
      <c r="AL41" s="208"/>
      <c r="AM41" s="207"/>
      <c r="AN41" s="208"/>
      <c r="AO41" s="208"/>
      <c r="AP41" s="118"/>
    </row>
    <row r="42" spans="1:42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204" t="str">
        <f t="shared" si="8"/>
        <v>aus</v>
      </c>
      <c r="AG42" s="187"/>
      <c r="AH42" s="212"/>
      <c r="AI42" s="213"/>
      <c r="AJ42" s="208"/>
      <c r="AK42" s="208"/>
      <c r="AL42" s="208"/>
      <c r="AM42" s="207"/>
      <c r="AN42" s="208"/>
      <c r="AO42" s="208"/>
      <c r="AP42" s="118"/>
    </row>
    <row r="43" spans="1:42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204" t="str">
        <f t="shared" si="8"/>
        <v>ein</v>
      </c>
      <c r="AG43" s="187"/>
      <c r="AH43" s="212"/>
      <c r="AI43" s="213"/>
      <c r="AJ43" s="208"/>
      <c r="AK43" s="208"/>
      <c r="AL43" s="208"/>
      <c r="AM43" s="207"/>
      <c r="AN43" s="208"/>
      <c r="AO43" s="208"/>
      <c r="AP43" s="118"/>
    </row>
    <row r="44" spans="1:42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204" t="str">
        <f t="shared" si="8"/>
        <v>aus</v>
      </c>
      <c r="AG44" s="187"/>
      <c r="AH44" s="212"/>
      <c r="AI44" s="213"/>
      <c r="AJ44" s="208"/>
      <c r="AK44" s="208"/>
      <c r="AL44" s="208"/>
      <c r="AM44" s="207"/>
      <c r="AN44" s="208"/>
      <c r="AO44" s="208"/>
      <c r="AP44" s="118"/>
    </row>
    <row r="45" spans="1:42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E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6" t="str">
        <f t="shared" si="8"/>
        <v>Total Pikett ein/aus</v>
      </c>
      <c r="AG45" s="217"/>
      <c r="AH45" s="218">
        <f>SUM(B45:AE45)</f>
        <v>0</v>
      </c>
      <c r="AI45" s="213"/>
      <c r="AJ45" s="208"/>
      <c r="AK45" s="208"/>
      <c r="AL45" s="208"/>
      <c r="AM45" s="207"/>
      <c r="AN45" s="208"/>
      <c r="AO45" s="208"/>
      <c r="AP45" s="118"/>
    </row>
    <row r="46" spans="1:42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04"/>
      <c r="AG46" s="187"/>
      <c r="AH46" s="212"/>
      <c r="AI46" s="213"/>
      <c r="AJ46" s="208"/>
      <c r="AK46" s="208"/>
      <c r="AL46" s="208"/>
      <c r="AM46" s="207"/>
      <c r="AN46" s="208"/>
      <c r="AO46" s="208"/>
      <c r="AP46" s="118"/>
    </row>
    <row r="47" spans="1:42" s="38" customFormat="1" ht="16.5" hidden="1" customHeight="1" outlineLevel="1" x14ac:dyDescent="0.2">
      <c r="A47" s="214" t="s">
        <v>222</v>
      </c>
      <c r="B47" s="215">
        <f t="shared" ref="B47:AE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6" t="str">
        <f>A47</f>
        <v>Total Pikettstunden heute</v>
      </c>
      <c r="AG47" s="187"/>
      <c r="AH47" s="212"/>
      <c r="AI47" s="213"/>
      <c r="AJ47" s="208"/>
      <c r="AK47" s="208"/>
      <c r="AL47" s="208"/>
      <c r="AM47" s="207"/>
      <c r="AN47" s="208"/>
      <c r="AO47" s="208"/>
      <c r="AP47" s="118"/>
    </row>
    <row r="48" spans="1:42" s="38" customFormat="1" ht="16.5" hidden="1" customHeight="1" outlineLevel="1" x14ac:dyDescent="0.2">
      <c r="A48" s="214" t="s">
        <v>223</v>
      </c>
      <c r="B48" s="224">
        <f t="shared" ref="B48:AE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16" t="str">
        <f>A48</f>
        <v>Total Pikettstunden gestern</v>
      </c>
      <c r="AG48" s="187"/>
      <c r="AH48" s="212"/>
      <c r="AI48" s="213"/>
      <c r="AJ48" s="208"/>
      <c r="AK48" s="208"/>
      <c r="AL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M48" s="207"/>
      <c r="AN48" s="208"/>
      <c r="AO48" s="208"/>
      <c r="AP48" s="118"/>
    </row>
    <row r="49" spans="1:42" s="38" customFormat="1" ht="16.5" hidden="1" customHeight="1" outlineLevel="1" x14ac:dyDescent="0.2">
      <c r="A49" s="214" t="s">
        <v>219</v>
      </c>
      <c r="B49" s="215">
        <f t="shared" ref="B49:AE49" ca="1" si="12">B47+IF(B$10=EOMONTH(B$10,0),$AL48,OFFSET(B48,0,1))</f>
        <v>0</v>
      </c>
      <c r="C49" s="215">
        <f t="shared" ca="1" si="12"/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6" t="str">
        <f>A49</f>
        <v>Total Pikettdienststunden</v>
      </c>
      <c r="AG49" s="217"/>
      <c r="AH49" s="218">
        <f ca="1">SUM(B49:AE49)</f>
        <v>0</v>
      </c>
      <c r="AI49" s="213"/>
      <c r="AJ49" s="208"/>
      <c r="AK49" s="208"/>
      <c r="AL49" s="208"/>
      <c r="AM49" s="207"/>
      <c r="AN49" s="208"/>
      <c r="AO49" s="208"/>
      <c r="AP49" s="118"/>
    </row>
    <row r="50" spans="1:42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31"/>
      <c r="AG50" s="232"/>
      <c r="AH50" s="221"/>
      <c r="AI50" s="213"/>
      <c r="AJ50" s="208"/>
      <c r="AK50" s="208"/>
      <c r="AL50" s="208"/>
      <c r="AM50" s="207"/>
      <c r="AN50" s="208"/>
      <c r="AO50" s="208"/>
      <c r="AP50" s="118"/>
    </row>
    <row r="51" spans="1:42" s="38" customFormat="1" ht="15" customHeight="1" x14ac:dyDescent="0.2">
      <c r="A51" s="214" t="s">
        <v>109</v>
      </c>
      <c r="B51" s="233">
        <f t="shared" ref="B51:AE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16" t="str">
        <f t="shared" ref="AF51:AF56" si="14">A51</f>
        <v>Arbeitszeit IST</v>
      </c>
      <c r="AG51" s="217"/>
      <c r="AH51" s="237">
        <f>SUM(B51:AE51)</f>
        <v>0</v>
      </c>
      <c r="AI51" s="213"/>
      <c r="AJ51" s="208" t="str">
        <f>IF(T.MedizinischeMikrobiologie,Monat.ZZSND.Total,"")</f>
        <v/>
      </c>
      <c r="AK51" s="208"/>
      <c r="AL51" s="208"/>
      <c r="AM51" s="208" t="str">
        <f>IF(T.MedizinischeMikrobiologie,SUM(AH51,AJ51),"")</f>
        <v/>
      </c>
      <c r="AN51" s="208"/>
      <c r="AO51" s="208"/>
      <c r="AP51" s="118"/>
    </row>
    <row r="52" spans="1:42" s="38" customFormat="1" ht="15" customHeight="1" outlineLevel="1" x14ac:dyDescent="0.2">
      <c r="A52" s="211" t="s">
        <v>197</v>
      </c>
      <c r="B52" s="78">
        <f t="shared" ref="B52:AE52" ca="1" si="15">IF(B$12=0,0,ROUND(INDEX(Monat.RAZ1_7.Bereich,WEEKDAY(B$10,2))*B$11*1440,0)/1440)</f>
        <v>0.35</v>
      </c>
      <c r="C52" s="78">
        <f t="shared" ca="1" si="15"/>
        <v>0</v>
      </c>
      <c r="D52" s="79">
        <f t="shared" ca="1" si="15"/>
        <v>0</v>
      </c>
      <c r="E52" s="78">
        <f t="shared" ca="1" si="15"/>
        <v>0.35</v>
      </c>
      <c r="F52" s="79">
        <f t="shared" ca="1" si="15"/>
        <v>0.35</v>
      </c>
      <c r="G52" s="79">
        <f t="shared" ca="1" si="15"/>
        <v>0.35</v>
      </c>
      <c r="H52" s="79">
        <f t="shared" ca="1" si="15"/>
        <v>0.35</v>
      </c>
      <c r="I52" s="79">
        <f t="shared" ca="1" si="15"/>
        <v>0.35</v>
      </c>
      <c r="J52" s="78">
        <f t="shared" ca="1" si="15"/>
        <v>0</v>
      </c>
      <c r="K52" s="79">
        <f t="shared" ca="1" si="15"/>
        <v>0</v>
      </c>
      <c r="L52" s="78">
        <f t="shared" ca="1" si="15"/>
        <v>0.35</v>
      </c>
      <c r="M52" s="79">
        <f t="shared" ca="1" si="15"/>
        <v>0.35</v>
      </c>
      <c r="N52" s="79">
        <f t="shared" ca="1" si="15"/>
        <v>0.35</v>
      </c>
      <c r="O52" s="79">
        <f t="shared" ca="1" si="15"/>
        <v>0.25</v>
      </c>
      <c r="P52" s="79">
        <f t="shared" ca="1" si="15"/>
        <v>0</v>
      </c>
      <c r="Q52" s="78">
        <f t="shared" ca="1" si="15"/>
        <v>0</v>
      </c>
      <c r="R52" s="79">
        <f t="shared" ca="1" si="15"/>
        <v>0</v>
      </c>
      <c r="S52" s="78">
        <f t="shared" ca="1" si="15"/>
        <v>0</v>
      </c>
      <c r="T52" s="78">
        <f t="shared" ca="1" si="15"/>
        <v>0.35</v>
      </c>
      <c r="U52" s="79">
        <f t="shared" ca="1" si="15"/>
        <v>0.35</v>
      </c>
      <c r="V52" s="79">
        <f t="shared" ca="1" si="15"/>
        <v>0.35</v>
      </c>
      <c r="W52" s="79">
        <f t="shared" ca="1" si="15"/>
        <v>0.35</v>
      </c>
      <c r="X52" s="78">
        <f t="shared" ca="1" si="15"/>
        <v>0</v>
      </c>
      <c r="Y52" s="79">
        <f t="shared" ca="1" si="15"/>
        <v>0</v>
      </c>
      <c r="Z52" s="80">
        <f t="shared" ca="1" si="15"/>
        <v>0.17499999999999999</v>
      </c>
      <c r="AA52" s="79">
        <f t="shared" ca="1" si="15"/>
        <v>0.35</v>
      </c>
      <c r="AB52" s="79">
        <f t="shared" ca="1" si="15"/>
        <v>0.35</v>
      </c>
      <c r="AC52" s="79">
        <f t="shared" ca="1" si="15"/>
        <v>0.35</v>
      </c>
      <c r="AD52" s="79">
        <f t="shared" ca="1" si="15"/>
        <v>0.35</v>
      </c>
      <c r="AE52" s="78">
        <f t="shared" ca="1" si="15"/>
        <v>0</v>
      </c>
      <c r="AF52" s="238" t="str">
        <f t="shared" si="14"/>
        <v>Regelarbeitszeit (Info)</v>
      </c>
      <c r="AG52" s="217"/>
      <c r="AH52" s="212"/>
      <c r="AI52" s="213"/>
      <c r="AJ52" s="208"/>
      <c r="AK52" s="208"/>
      <c r="AL52" s="208"/>
      <c r="AM52" s="207"/>
      <c r="AN52" s="208"/>
      <c r="AO52" s="208"/>
      <c r="AP52" s="118"/>
    </row>
    <row r="53" spans="1:42" s="38" customFormat="1" ht="15" customHeight="1" x14ac:dyDescent="0.2">
      <c r="A53" s="211" t="s">
        <v>155</v>
      </c>
      <c r="B53" s="239">
        <f t="shared" ref="B53:AE53" ca="1" si="16">IF(B$12=0,0,ROUND(INDEX(EB.AZSOLLTag100.Bereich,MATCH(INDEX(EB.Monate.Bereich,MONTH(Monat.Tag1)),EB.Monate.Bereich,0))*B$11*IF(WEEKDAY(B$10,2)&gt;5,0,1)*$V$2/100*1440,0)/1440)</f>
        <v>0.35</v>
      </c>
      <c r="C53" s="239">
        <f t="shared" ca="1" si="16"/>
        <v>0</v>
      </c>
      <c r="D53" s="239">
        <f t="shared" ca="1" si="16"/>
        <v>0</v>
      </c>
      <c r="E53" s="239">
        <f t="shared" ca="1" si="16"/>
        <v>0.35</v>
      </c>
      <c r="F53" s="239">
        <f t="shared" ca="1" si="16"/>
        <v>0.35</v>
      </c>
      <c r="G53" s="239">
        <f t="shared" ca="1" si="16"/>
        <v>0.35</v>
      </c>
      <c r="H53" s="239">
        <f t="shared" ca="1" si="16"/>
        <v>0.35</v>
      </c>
      <c r="I53" s="239">
        <f t="shared" ca="1" si="16"/>
        <v>0.35</v>
      </c>
      <c r="J53" s="239">
        <f t="shared" ca="1" si="16"/>
        <v>0</v>
      </c>
      <c r="K53" s="239">
        <f t="shared" ca="1" si="16"/>
        <v>0</v>
      </c>
      <c r="L53" s="239">
        <f t="shared" ca="1" si="16"/>
        <v>0.35</v>
      </c>
      <c r="M53" s="239">
        <f t="shared" ca="1" si="16"/>
        <v>0.35</v>
      </c>
      <c r="N53" s="239">
        <f t="shared" ca="1" si="16"/>
        <v>0.35</v>
      </c>
      <c r="O53" s="239">
        <f t="shared" ca="1" si="16"/>
        <v>0.25</v>
      </c>
      <c r="P53" s="239">
        <f t="shared" ca="1" si="16"/>
        <v>0</v>
      </c>
      <c r="Q53" s="239">
        <f t="shared" ca="1" si="16"/>
        <v>0</v>
      </c>
      <c r="R53" s="239">
        <f t="shared" ca="1" si="16"/>
        <v>0</v>
      </c>
      <c r="S53" s="239">
        <f t="shared" ca="1" si="16"/>
        <v>0</v>
      </c>
      <c r="T53" s="239">
        <f t="shared" ca="1" si="16"/>
        <v>0.35</v>
      </c>
      <c r="U53" s="239">
        <f t="shared" ca="1" si="16"/>
        <v>0.35</v>
      </c>
      <c r="V53" s="239">
        <f t="shared" ca="1" si="16"/>
        <v>0.35</v>
      </c>
      <c r="W53" s="239">
        <f t="shared" ca="1" si="16"/>
        <v>0.35</v>
      </c>
      <c r="X53" s="239">
        <f t="shared" ca="1" si="16"/>
        <v>0</v>
      </c>
      <c r="Y53" s="239">
        <f t="shared" ca="1" si="16"/>
        <v>0</v>
      </c>
      <c r="Z53" s="239">
        <f t="shared" ca="1" si="16"/>
        <v>0.17499999999999999</v>
      </c>
      <c r="AA53" s="239">
        <f t="shared" ca="1" si="16"/>
        <v>0.35</v>
      </c>
      <c r="AB53" s="239">
        <f t="shared" ca="1" si="16"/>
        <v>0.35</v>
      </c>
      <c r="AC53" s="239">
        <f t="shared" ca="1" si="16"/>
        <v>0.35</v>
      </c>
      <c r="AD53" s="239">
        <f t="shared" ca="1" si="16"/>
        <v>0.35</v>
      </c>
      <c r="AE53" s="239">
        <f t="shared" ca="1" si="16"/>
        <v>0</v>
      </c>
      <c r="AF53" s="204" t="str">
        <f t="shared" si="14"/>
        <v>Arbeitszeit SOLL gem. BG</v>
      </c>
      <c r="AG53" s="217"/>
      <c r="AH53" s="237">
        <f ca="1">SUM(B53:AE53)</f>
        <v>6.3749999999999982</v>
      </c>
      <c r="AI53" s="213"/>
      <c r="AJ53" s="208"/>
      <c r="AK53" s="208"/>
      <c r="AL53" s="208"/>
      <c r="AM53" s="207"/>
      <c r="AN53" s="208"/>
      <c r="AO53" s="208"/>
      <c r="AP53" s="118"/>
    </row>
    <row r="54" spans="1:42" s="38" customFormat="1" ht="15" hidden="1" customHeight="1" outlineLevel="1" x14ac:dyDescent="0.2">
      <c r="A54" s="211" t="s">
        <v>143</v>
      </c>
      <c r="B54" s="239">
        <f t="shared" ref="B54:AE54" ca="1" si="17">ROUND(INDEX(EB.AZSOLLTag100.Bereich,MATCH(INDEX(EB.Monate.Bereich,MONTH(Monat.Tag1)),EB.Monate.Bereich,0))*B$11*IF(WEEKDAY(B$10,2)&gt;5,0,1)*1440,0)/1440</f>
        <v>0.35</v>
      </c>
      <c r="C54" s="239">
        <f t="shared" ca="1" si="17"/>
        <v>0</v>
      </c>
      <c r="D54" s="240">
        <f t="shared" ca="1" si="17"/>
        <v>0</v>
      </c>
      <c r="E54" s="239">
        <f t="shared" ca="1" si="17"/>
        <v>0.35</v>
      </c>
      <c r="F54" s="240">
        <f t="shared" ca="1" si="17"/>
        <v>0.35</v>
      </c>
      <c r="G54" s="240">
        <f t="shared" ca="1" si="17"/>
        <v>0.35</v>
      </c>
      <c r="H54" s="240">
        <f t="shared" ca="1" si="17"/>
        <v>0.35</v>
      </c>
      <c r="I54" s="240">
        <f t="shared" ca="1" si="17"/>
        <v>0.35</v>
      </c>
      <c r="J54" s="239">
        <f t="shared" ca="1" si="17"/>
        <v>0</v>
      </c>
      <c r="K54" s="240">
        <f t="shared" ca="1" si="17"/>
        <v>0</v>
      </c>
      <c r="L54" s="239">
        <f t="shared" ca="1" si="17"/>
        <v>0.35</v>
      </c>
      <c r="M54" s="240">
        <f t="shared" ca="1" si="17"/>
        <v>0.35</v>
      </c>
      <c r="N54" s="240">
        <f t="shared" ca="1" si="17"/>
        <v>0.35</v>
      </c>
      <c r="O54" s="240">
        <f t="shared" ca="1" si="17"/>
        <v>0.25</v>
      </c>
      <c r="P54" s="240">
        <f t="shared" ca="1" si="17"/>
        <v>0</v>
      </c>
      <c r="Q54" s="239">
        <f t="shared" ca="1" si="17"/>
        <v>0</v>
      </c>
      <c r="R54" s="240">
        <f t="shared" ca="1" si="17"/>
        <v>0</v>
      </c>
      <c r="S54" s="239">
        <f t="shared" ca="1" si="17"/>
        <v>0</v>
      </c>
      <c r="T54" s="239">
        <f t="shared" ca="1" si="17"/>
        <v>0.35</v>
      </c>
      <c r="U54" s="240">
        <f t="shared" ca="1" si="17"/>
        <v>0.35</v>
      </c>
      <c r="V54" s="240">
        <f t="shared" ca="1" si="17"/>
        <v>0.35</v>
      </c>
      <c r="W54" s="240">
        <f t="shared" ca="1" si="17"/>
        <v>0.35</v>
      </c>
      <c r="X54" s="239">
        <f t="shared" ca="1" si="17"/>
        <v>0</v>
      </c>
      <c r="Y54" s="240">
        <f t="shared" ca="1" si="17"/>
        <v>0</v>
      </c>
      <c r="Z54" s="241">
        <f t="shared" ca="1" si="17"/>
        <v>0.17499999999999999</v>
      </c>
      <c r="AA54" s="240">
        <f t="shared" ca="1" si="17"/>
        <v>0.35</v>
      </c>
      <c r="AB54" s="240">
        <f t="shared" ca="1" si="17"/>
        <v>0.35</v>
      </c>
      <c r="AC54" s="240">
        <f t="shared" ca="1" si="17"/>
        <v>0.35</v>
      </c>
      <c r="AD54" s="240">
        <f t="shared" ca="1" si="17"/>
        <v>0.35</v>
      </c>
      <c r="AE54" s="239">
        <f t="shared" ca="1" si="17"/>
        <v>0</v>
      </c>
      <c r="AF54" s="204" t="str">
        <f t="shared" si="14"/>
        <v>Arbeitszeit SOLL 100%</v>
      </c>
      <c r="AG54" s="217"/>
      <c r="AH54" s="237">
        <f ca="1">SUM(B54:AE54)</f>
        <v>6.3749999999999982</v>
      </c>
      <c r="AI54" s="213"/>
      <c r="AJ54" s="208"/>
      <c r="AK54" s="208"/>
      <c r="AL54" s="208"/>
      <c r="AM54" s="207"/>
      <c r="AN54" s="208"/>
      <c r="AO54" s="208"/>
      <c r="AP54" s="118"/>
    </row>
    <row r="55" spans="1:42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E55" ca="1" si="18">ROUND((C51-C53)*1440,0)/1440</f>
        <v>0</v>
      </c>
      <c r="D55" s="233">
        <f t="shared" ca="1" si="18"/>
        <v>0</v>
      </c>
      <c r="E55" s="235">
        <f t="shared" ca="1" si="18"/>
        <v>-0.35</v>
      </c>
      <c r="F55" s="233">
        <f t="shared" ca="1" si="18"/>
        <v>-0.35</v>
      </c>
      <c r="G55" s="233">
        <f t="shared" ca="1" si="18"/>
        <v>-0.35</v>
      </c>
      <c r="H55" s="233">
        <f t="shared" ca="1" si="18"/>
        <v>-0.35</v>
      </c>
      <c r="I55" s="233">
        <f t="shared" ca="1" si="18"/>
        <v>-0.35</v>
      </c>
      <c r="J55" s="235">
        <f t="shared" ca="1" si="18"/>
        <v>0</v>
      </c>
      <c r="K55" s="233">
        <f t="shared" ca="1" si="18"/>
        <v>0</v>
      </c>
      <c r="L55" s="235">
        <f t="shared" ca="1" si="18"/>
        <v>-0.35</v>
      </c>
      <c r="M55" s="233">
        <f t="shared" ca="1" si="18"/>
        <v>-0.35</v>
      </c>
      <c r="N55" s="233">
        <f t="shared" ca="1" si="18"/>
        <v>-0.35</v>
      </c>
      <c r="O55" s="233">
        <f t="shared" ca="1" si="18"/>
        <v>-0.25</v>
      </c>
      <c r="P55" s="233">
        <f t="shared" ca="1" si="18"/>
        <v>0</v>
      </c>
      <c r="Q55" s="235">
        <f t="shared" ca="1" si="18"/>
        <v>0</v>
      </c>
      <c r="R55" s="233">
        <f t="shared" ca="1" si="18"/>
        <v>0</v>
      </c>
      <c r="S55" s="235">
        <f t="shared" ca="1" si="18"/>
        <v>0</v>
      </c>
      <c r="T55" s="235">
        <f t="shared" ca="1" si="18"/>
        <v>-0.35</v>
      </c>
      <c r="U55" s="233">
        <f t="shared" ca="1" si="18"/>
        <v>-0.35</v>
      </c>
      <c r="V55" s="233">
        <f t="shared" ca="1" si="18"/>
        <v>-0.35</v>
      </c>
      <c r="W55" s="233">
        <f t="shared" ca="1" si="18"/>
        <v>-0.35</v>
      </c>
      <c r="X55" s="235">
        <f t="shared" ca="1" si="18"/>
        <v>0</v>
      </c>
      <c r="Y55" s="233">
        <f t="shared" ca="1" si="18"/>
        <v>0</v>
      </c>
      <c r="Z55" s="236">
        <f t="shared" ca="1" si="18"/>
        <v>-0.17499999999999999</v>
      </c>
      <c r="AA55" s="233">
        <f t="shared" ca="1" si="18"/>
        <v>-0.35</v>
      </c>
      <c r="AB55" s="233">
        <f t="shared" ca="1" si="18"/>
        <v>-0.35</v>
      </c>
      <c r="AC55" s="233">
        <f t="shared" ca="1" si="18"/>
        <v>-0.35</v>
      </c>
      <c r="AD55" s="233">
        <f t="shared" ca="1" si="18"/>
        <v>-0.35</v>
      </c>
      <c r="AE55" s="235">
        <f t="shared" ca="1" si="18"/>
        <v>0</v>
      </c>
      <c r="AF55" s="204" t="str">
        <f t="shared" si="14"/>
        <v>+/- SOLL/IST täglich</v>
      </c>
      <c r="AG55" s="217"/>
      <c r="AH55" s="237">
        <f ca="1">SUM(B55:AE55)</f>
        <v>-6.3749999999999982</v>
      </c>
      <c r="AI55" s="213"/>
      <c r="AJ55" s="208"/>
      <c r="AK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-8.0499999999999972</v>
      </c>
      <c r="AL55" s="208"/>
      <c r="AM55" s="244">
        <f ca="1">IF(AG57="+",(AH55+AH57),(AH55-AH57))</f>
        <v>-6.3749999999999982</v>
      </c>
      <c r="AN55" s="244">
        <f ca="1">SUM(OFFSET(J.AZSaldo.Total,-12,0,MONTH(Monat.Tag1),1))</f>
        <v>-28.774999999999991</v>
      </c>
      <c r="AO55" s="244">
        <f ca="1">J.AZSaldo.Total</f>
        <v>-88.349999999999966</v>
      </c>
      <c r="AP55" s="118"/>
    </row>
    <row r="56" spans="1:42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04" t="str">
        <f t="shared" si="14"/>
        <v>aktuelle Mehr-/Minusstunden</v>
      </c>
      <c r="AG56" s="217"/>
      <c r="AH56" s="237">
        <f ca="1">OFFSET(B56,0,DAY(EOMONTH(Monat.Tag1,0))-1,1,1)</f>
        <v>0</v>
      </c>
      <c r="AI56" s="213"/>
      <c r="AJ56" s="208"/>
      <c r="AK56" s="208"/>
      <c r="AL56" s="208"/>
      <c r="AM56" s="207"/>
      <c r="AN56" s="208"/>
      <c r="AO56" s="208"/>
      <c r="AP56" s="118"/>
    </row>
    <row r="57" spans="1:42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11" t="s">
        <v>140</v>
      </c>
      <c r="AG57" s="43" t="s">
        <v>27</v>
      </c>
      <c r="AH57" s="73"/>
      <c r="AI57" s="253"/>
      <c r="AJ57" s="254"/>
      <c r="AK57" s="208"/>
      <c r="AL57" s="208"/>
      <c r="AM57" s="207"/>
      <c r="AN57" s="255"/>
      <c r="AO57" s="255"/>
      <c r="AP57" s="162"/>
    </row>
    <row r="58" spans="1:42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8" t="s">
        <v>230</v>
      </c>
      <c r="AG58" s="217"/>
      <c r="AH58" s="237">
        <f ca="1">IF(AG57="+",(Monat.ZUeZ.Total+AH57),(Monat.ZUeZ.Total-AH57))</f>
        <v>0</v>
      </c>
      <c r="AI58" s="259"/>
      <c r="AJ58" s="260"/>
      <c r="AK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L58" s="208"/>
      <c r="AM58" s="244">
        <f ca="1">AH58</f>
        <v>0</v>
      </c>
      <c r="AN58" s="208"/>
      <c r="AO58" s="208"/>
      <c r="AP58" s="130"/>
    </row>
    <row r="59" spans="1:42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04"/>
      <c r="AG59" s="187"/>
      <c r="AH59" s="212"/>
      <c r="AI59" s="213"/>
      <c r="AJ59" s="208"/>
      <c r="AK59" s="208"/>
      <c r="AL59" s="208"/>
      <c r="AM59" s="207"/>
      <c r="AN59" s="208"/>
      <c r="AO59" s="208"/>
      <c r="AP59" s="118"/>
    </row>
    <row r="60" spans="1:42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04" t="str">
        <f>A60</f>
        <v>Angeordnete ÜZ</v>
      </c>
      <c r="AG60" s="217"/>
      <c r="AH60" s="237">
        <f ca="1">SUM(B60:AE60)</f>
        <v>0</v>
      </c>
      <c r="AI60" s="213"/>
      <c r="AJ60" s="208"/>
      <c r="AK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L60" s="208"/>
      <c r="AM60" s="244">
        <f ca="1">AH60+AK60</f>
        <v>0</v>
      </c>
      <c r="AN60" s="244">
        <f ca="1">SUM(OFFSET(Jahr.AngÜZ,-12,0,MONTH(Monat.Tag1),1))</f>
        <v>0</v>
      </c>
      <c r="AO60" s="244">
        <f ca="1">Jahr.AngÜZ</f>
        <v>0</v>
      </c>
      <c r="AP60" s="118"/>
    </row>
    <row r="61" spans="1:42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04" t="str">
        <f>A61</f>
        <v>Kompensation ÜZ</v>
      </c>
      <c r="AG61" s="217"/>
      <c r="AH61" s="237">
        <f>SUM(B61:AE61)</f>
        <v>0</v>
      </c>
      <c r="AI61" s="213"/>
      <c r="AJ61" s="208"/>
      <c r="AK61" s="208"/>
      <c r="AL61" s="208"/>
      <c r="AM61" s="207"/>
      <c r="AN61" s="208"/>
      <c r="AO61" s="208"/>
      <c r="AP61" s="118"/>
    </row>
    <row r="62" spans="1:42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5" t="s">
        <v>231</v>
      </c>
      <c r="AG62" s="266"/>
      <c r="AH62" s="237">
        <f ca="1">Monat.AnUeZ.Total-Monat.KomUeZ.Total</f>
        <v>0</v>
      </c>
      <c r="AI62" s="213"/>
      <c r="AJ62" s="255"/>
      <c r="AK62" s="255"/>
      <c r="AL62" s="208"/>
      <c r="AM62" s="255"/>
      <c r="AN62" s="255"/>
      <c r="AO62" s="255"/>
      <c r="AP62" s="162"/>
    </row>
    <row r="63" spans="1:42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11" t="s">
        <v>47</v>
      </c>
      <c r="AG63" s="217"/>
      <c r="AH63" s="237">
        <f ca="1">IF(T.50_Vetsuisse,0,IF(AND(AH62&gt;0,Monat.ÜZZSBerechtigt=INDEX(T.JaNein.Bereich,1,1)),ROUND(AH62*0.25*1440,0)/1440,0))</f>
        <v>0</v>
      </c>
      <c r="AI63" s="213"/>
      <c r="AJ63" s="208"/>
      <c r="AK63" s="255"/>
      <c r="AL63" s="208"/>
      <c r="AM63" s="255"/>
      <c r="AN63" s="255"/>
      <c r="AO63" s="255"/>
      <c r="AP63" s="118"/>
    </row>
    <row r="64" spans="1:42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11" t="s">
        <v>248</v>
      </c>
      <c r="AG64" s="45" t="s">
        <v>27</v>
      </c>
      <c r="AH64" s="46"/>
      <c r="AI64" s="268"/>
      <c r="AJ64" s="208"/>
      <c r="AK64" s="255"/>
      <c r="AL64" s="208"/>
      <c r="AM64" s="255"/>
      <c r="AN64" s="255"/>
      <c r="AO64" s="255"/>
      <c r="AP64" s="118"/>
    </row>
    <row r="65" spans="1:42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58" t="s">
        <v>72</v>
      </c>
      <c r="AG65" s="266"/>
      <c r="AH65" s="237">
        <f ca="1">IF(AG64="+",(AH62+AH63+AH64),(AH62+AH63-AH64))</f>
        <v>0</v>
      </c>
      <c r="AI65" s="259"/>
      <c r="AJ65" s="269"/>
      <c r="AK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L65" s="208"/>
      <c r="AM65" s="244">
        <f ca="1">AH65+AK65</f>
        <v>0</v>
      </c>
      <c r="AN65" s="244">
        <f ca="1">SUM(OFFSET(J.UeZ.Total,-12,0,MONTH(Monat.Tag1),1))</f>
        <v>0</v>
      </c>
      <c r="AO65" s="244">
        <f ca="1">J.UeZ.Total</f>
        <v>0</v>
      </c>
      <c r="AP65" s="162"/>
    </row>
    <row r="66" spans="1:42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0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0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0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0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0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0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0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0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0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0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1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0</v>
      </c>
      <c r="AF66" s="211"/>
      <c r="AG66" s="187"/>
      <c r="AH66" s="212"/>
      <c r="AI66" s="213"/>
      <c r="AJ66" s="208"/>
      <c r="AK66" s="208"/>
      <c r="AL66" s="208"/>
      <c r="AM66" s="207"/>
      <c r="AN66" s="208"/>
      <c r="AO66" s="208"/>
      <c r="AP66" s="118"/>
    </row>
    <row r="67" spans="1:42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04" t="str">
        <f ca="1">A67 &amp; IFERROR(IF(SUMPRODUCT((B66:AE66=0)*(B67:AE67&gt;0))&gt;0," (!)",""),"")</f>
        <v>Kompensation AZ</v>
      </c>
      <c r="AG67" s="217"/>
      <c r="AH67" s="237">
        <f>SUM(B67:AE67)</f>
        <v>0</v>
      </c>
      <c r="AI67" s="259"/>
      <c r="AJ67" s="243">
        <f ca="1">OFFSET(EB.MKAStd.Knoten,MONTH(Monat.Tag1),0,1,1)</f>
        <v>0.4375</v>
      </c>
      <c r="AK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1.3125</v>
      </c>
      <c r="AL67" s="208"/>
      <c r="AM67" s="244">
        <f ca="1">AJ67+AK67-Monat.KomAZ.Total</f>
        <v>1.75</v>
      </c>
      <c r="AN67" s="244">
        <f ca="1">Jahresabrechnung!P12-SUM(OFFSET(Jahresabrechnung!P15,0,0,MONTH(Monat.Tag1),1))</f>
        <v>5.25</v>
      </c>
      <c r="AO67" s="244">
        <f ca="1">Jahresabrechnung!P28</f>
        <v>5.25</v>
      </c>
      <c r="AP67" s="118"/>
    </row>
    <row r="68" spans="1:42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204"/>
      <c r="AG68" s="187"/>
      <c r="AH68" s="212"/>
      <c r="AI68" s="213"/>
      <c r="AJ68" s="208"/>
      <c r="AK68" s="208"/>
      <c r="AL68" s="208"/>
      <c r="AM68" s="434">
        <f ca="1">IF(OFFSET(A68,0,DAY(EOMONTH(Monat.Tag1,0)))=0,0,1)</f>
        <v>1</v>
      </c>
      <c r="AN68" s="208"/>
      <c r="AO68" s="208"/>
      <c r="AP68" s="118"/>
    </row>
    <row r="69" spans="1:42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E69" ca="1" si="19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9"/>
        <v>0</v>
      </c>
      <c r="E69" s="271">
        <f t="shared" ca="1" si="19"/>
        <v>0</v>
      </c>
      <c r="F69" s="271">
        <f t="shared" ca="1" si="19"/>
        <v>0</v>
      </c>
      <c r="G69" s="271">
        <f t="shared" ca="1" si="19"/>
        <v>0</v>
      </c>
      <c r="H69" s="271">
        <f t="shared" ca="1" si="19"/>
        <v>0</v>
      </c>
      <c r="I69" s="271">
        <f t="shared" ca="1" si="19"/>
        <v>0</v>
      </c>
      <c r="J69" s="271">
        <f t="shared" ca="1" si="19"/>
        <v>0</v>
      </c>
      <c r="K69" s="271">
        <f t="shared" ca="1" si="19"/>
        <v>0</v>
      </c>
      <c r="L69" s="271">
        <f t="shared" ca="1" si="19"/>
        <v>0</v>
      </c>
      <c r="M69" s="271">
        <f t="shared" ca="1" si="19"/>
        <v>0</v>
      </c>
      <c r="N69" s="271">
        <f t="shared" ca="1" si="19"/>
        <v>0</v>
      </c>
      <c r="O69" s="271">
        <f t="shared" ca="1" si="19"/>
        <v>0</v>
      </c>
      <c r="P69" s="271">
        <f t="shared" ca="1" si="19"/>
        <v>0</v>
      </c>
      <c r="Q69" s="271">
        <f t="shared" ca="1" si="19"/>
        <v>0</v>
      </c>
      <c r="R69" s="271">
        <f t="shared" ca="1" si="19"/>
        <v>0</v>
      </c>
      <c r="S69" s="271">
        <f t="shared" ca="1" si="19"/>
        <v>0</v>
      </c>
      <c r="T69" s="271">
        <f t="shared" ca="1" si="19"/>
        <v>0</v>
      </c>
      <c r="U69" s="271">
        <f t="shared" ca="1" si="19"/>
        <v>0</v>
      </c>
      <c r="V69" s="271">
        <f t="shared" ca="1" si="19"/>
        <v>0</v>
      </c>
      <c r="W69" s="271">
        <f t="shared" ca="1" si="19"/>
        <v>0</v>
      </c>
      <c r="X69" s="271">
        <f t="shared" ca="1" si="19"/>
        <v>0</v>
      </c>
      <c r="Y69" s="271">
        <f t="shared" ca="1" si="19"/>
        <v>0</v>
      </c>
      <c r="Z69" s="271">
        <f t="shared" ca="1" si="19"/>
        <v>0</v>
      </c>
      <c r="AA69" s="271">
        <f t="shared" ca="1" si="19"/>
        <v>0</v>
      </c>
      <c r="AB69" s="271">
        <f t="shared" ca="1" si="19"/>
        <v>0</v>
      </c>
      <c r="AC69" s="271">
        <f t="shared" ca="1" si="19"/>
        <v>0</v>
      </c>
      <c r="AD69" s="271">
        <f t="shared" ca="1" si="19"/>
        <v>0</v>
      </c>
      <c r="AE69" s="271">
        <f t="shared" ca="1" si="19"/>
        <v>0</v>
      </c>
      <c r="AF69" s="204" t="str">
        <f>A69</f>
        <v>Zähler Nachtdienst</v>
      </c>
      <c r="AG69" s="272"/>
      <c r="AH69" s="273">
        <f ca="1">SUM(B69:AE69)</f>
        <v>0</v>
      </c>
      <c r="AI69" s="259"/>
      <c r="AJ69" s="223"/>
      <c r="AK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L69" s="208"/>
      <c r="AM69" s="275">
        <f ca="1">AK69+AH69</f>
        <v>0</v>
      </c>
      <c r="AN69" s="207"/>
      <c r="AO69" s="207"/>
      <c r="AP69" s="118"/>
    </row>
    <row r="70" spans="1:42" s="38" customFormat="1" ht="15" hidden="1" customHeight="1" x14ac:dyDescent="0.2">
      <c r="A70" s="211" t="s">
        <v>212</v>
      </c>
      <c r="B70" s="271">
        <f t="shared" ref="B70:AE70" ca="1" si="20">IF(DAY(B$10)=1,$AK$69,A70)+B69</f>
        <v>0</v>
      </c>
      <c r="C70" s="271">
        <f t="shared" ca="1" si="20"/>
        <v>0</v>
      </c>
      <c r="D70" s="271">
        <f t="shared" ca="1" si="20"/>
        <v>0</v>
      </c>
      <c r="E70" s="271">
        <f t="shared" ca="1" si="20"/>
        <v>0</v>
      </c>
      <c r="F70" s="271">
        <f t="shared" ca="1" si="20"/>
        <v>0</v>
      </c>
      <c r="G70" s="271">
        <f t="shared" ca="1" si="20"/>
        <v>0</v>
      </c>
      <c r="H70" s="271">
        <f t="shared" ca="1" si="20"/>
        <v>0</v>
      </c>
      <c r="I70" s="271">
        <f t="shared" ca="1" si="20"/>
        <v>0</v>
      </c>
      <c r="J70" s="271">
        <f t="shared" ca="1" si="20"/>
        <v>0</v>
      </c>
      <c r="K70" s="271">
        <f t="shared" ca="1" si="20"/>
        <v>0</v>
      </c>
      <c r="L70" s="271">
        <f t="shared" ca="1" si="20"/>
        <v>0</v>
      </c>
      <c r="M70" s="271">
        <f t="shared" ca="1" si="20"/>
        <v>0</v>
      </c>
      <c r="N70" s="271">
        <f t="shared" ca="1" si="20"/>
        <v>0</v>
      </c>
      <c r="O70" s="271">
        <f t="shared" ca="1" si="20"/>
        <v>0</v>
      </c>
      <c r="P70" s="271">
        <f t="shared" ca="1" si="20"/>
        <v>0</v>
      </c>
      <c r="Q70" s="271">
        <f t="shared" ca="1" si="20"/>
        <v>0</v>
      </c>
      <c r="R70" s="271">
        <f t="shared" ca="1" si="20"/>
        <v>0</v>
      </c>
      <c r="S70" s="271">
        <f t="shared" ca="1" si="20"/>
        <v>0</v>
      </c>
      <c r="T70" s="271">
        <f t="shared" ca="1" si="20"/>
        <v>0</v>
      </c>
      <c r="U70" s="271">
        <f t="shared" ca="1" si="20"/>
        <v>0</v>
      </c>
      <c r="V70" s="271">
        <f t="shared" ca="1" si="20"/>
        <v>0</v>
      </c>
      <c r="W70" s="271">
        <f t="shared" ca="1" si="20"/>
        <v>0</v>
      </c>
      <c r="X70" s="271">
        <f t="shared" ca="1" si="20"/>
        <v>0</v>
      </c>
      <c r="Y70" s="271">
        <f t="shared" ca="1" si="20"/>
        <v>0</v>
      </c>
      <c r="Z70" s="271">
        <f t="shared" ca="1" si="20"/>
        <v>0</v>
      </c>
      <c r="AA70" s="271">
        <f t="shared" ca="1" si="20"/>
        <v>0</v>
      </c>
      <c r="AB70" s="271">
        <f t="shared" ca="1" si="20"/>
        <v>0</v>
      </c>
      <c r="AC70" s="271">
        <f t="shared" ca="1" si="20"/>
        <v>0</v>
      </c>
      <c r="AD70" s="271">
        <f t="shared" ca="1" si="20"/>
        <v>0</v>
      </c>
      <c r="AE70" s="271">
        <f t="shared" ca="1" si="20"/>
        <v>0</v>
      </c>
      <c r="AF70" s="204" t="str">
        <f>A70</f>
        <v>Saldo Zähler Nachtdienst</v>
      </c>
      <c r="AG70" s="227"/>
      <c r="AH70" s="223"/>
      <c r="AI70" s="276"/>
      <c r="AJ70" s="260"/>
      <c r="AK70" s="260"/>
      <c r="AL70" s="208"/>
      <c r="AM70" s="277"/>
      <c r="AN70" s="207"/>
      <c r="AO70" s="207"/>
      <c r="AP70" s="118"/>
    </row>
    <row r="71" spans="1:42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204" t="str">
        <f>A71</f>
        <v>Kompensation ZZS Nachtdienst</v>
      </c>
      <c r="AG71" s="217"/>
      <c r="AH71" s="237">
        <f>SUM(B71:AE71)</f>
        <v>0</v>
      </c>
      <c r="AI71" s="259"/>
      <c r="AJ71" s="260"/>
      <c r="AK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L71" s="208"/>
      <c r="AM71" s="244">
        <f ca="1">AH71+AK71</f>
        <v>0</v>
      </c>
      <c r="AN71" s="244">
        <f ca="1">SUM(OFFSET(Jahr.KompZZSND,-12,0,MONTH(Monat.Tag1),1))</f>
        <v>0</v>
      </c>
      <c r="AO71" s="244">
        <f ca="1">Jahr.KompZZSND</f>
        <v>0</v>
      </c>
      <c r="AP71" s="118"/>
    </row>
    <row r="72" spans="1:42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204" t="str">
        <f>A72</f>
        <v>Start Gepl. Nachtdienst Ja/Nein</v>
      </c>
      <c r="AG72" s="217"/>
      <c r="AH72" s="223"/>
      <c r="AI72" s="228">
        <f ca="1">IFERROR(SUMPRODUCT((B72:AE72=INDEX(T.JaNein.Bereich,1))*(B72:AE72&lt;&gt;"")),0)</f>
        <v>0</v>
      </c>
      <c r="AJ72" s="260"/>
      <c r="AK72" s="228">
        <f ca="1">AK69</f>
        <v>0</v>
      </c>
      <c r="AL72" s="208"/>
      <c r="AM72" s="275">
        <f ca="1">AM69</f>
        <v>0</v>
      </c>
      <c r="AN72" s="208"/>
      <c r="AO72" s="208"/>
      <c r="AP72" s="118"/>
    </row>
    <row r="73" spans="1:42" s="38" customFormat="1" ht="15" customHeight="1" outlineLevel="1" x14ac:dyDescent="0.2">
      <c r="A73" s="211" t="s">
        <v>77</v>
      </c>
      <c r="B73" s="278">
        <f t="shared" ref="B73:AE73" ca="1" si="21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1"/>
        <v>0</v>
      </c>
      <c r="D73" s="278">
        <f t="shared" ca="1" si="21"/>
        <v>0</v>
      </c>
      <c r="E73" s="278">
        <f t="shared" ca="1" si="21"/>
        <v>0</v>
      </c>
      <c r="F73" s="278">
        <f t="shared" ca="1" si="21"/>
        <v>0</v>
      </c>
      <c r="G73" s="278">
        <f t="shared" ca="1" si="21"/>
        <v>0</v>
      </c>
      <c r="H73" s="278">
        <f t="shared" ca="1" si="21"/>
        <v>0</v>
      </c>
      <c r="I73" s="278">
        <f t="shared" ca="1" si="21"/>
        <v>0</v>
      </c>
      <c r="J73" s="278">
        <f t="shared" ca="1" si="21"/>
        <v>0</v>
      </c>
      <c r="K73" s="278">
        <f t="shared" ca="1" si="21"/>
        <v>0</v>
      </c>
      <c r="L73" s="278">
        <f t="shared" ca="1" si="21"/>
        <v>0</v>
      </c>
      <c r="M73" s="278">
        <f t="shared" ca="1" si="21"/>
        <v>0</v>
      </c>
      <c r="N73" s="278">
        <f t="shared" ca="1" si="21"/>
        <v>0</v>
      </c>
      <c r="O73" s="278">
        <f t="shared" ca="1" si="21"/>
        <v>0</v>
      </c>
      <c r="P73" s="278">
        <f t="shared" ca="1" si="21"/>
        <v>0</v>
      </c>
      <c r="Q73" s="278">
        <f t="shared" ca="1" si="21"/>
        <v>0</v>
      </c>
      <c r="R73" s="278">
        <f t="shared" ca="1" si="21"/>
        <v>0</v>
      </c>
      <c r="S73" s="278">
        <f t="shared" ca="1" si="21"/>
        <v>0</v>
      </c>
      <c r="T73" s="278">
        <f t="shared" ca="1" si="21"/>
        <v>0</v>
      </c>
      <c r="U73" s="278">
        <f t="shared" ca="1" si="21"/>
        <v>0</v>
      </c>
      <c r="V73" s="278">
        <f t="shared" ca="1" si="21"/>
        <v>0</v>
      </c>
      <c r="W73" s="278">
        <f t="shared" ca="1" si="21"/>
        <v>0</v>
      </c>
      <c r="X73" s="278">
        <f t="shared" ca="1" si="21"/>
        <v>0</v>
      </c>
      <c r="Y73" s="278">
        <f t="shared" ca="1" si="21"/>
        <v>0</v>
      </c>
      <c r="Z73" s="278">
        <f t="shared" ca="1" si="21"/>
        <v>0</v>
      </c>
      <c r="AA73" s="278">
        <f t="shared" ca="1" si="21"/>
        <v>0</v>
      </c>
      <c r="AB73" s="278">
        <f t="shared" ca="1" si="21"/>
        <v>0</v>
      </c>
      <c r="AC73" s="278">
        <f t="shared" ca="1" si="21"/>
        <v>0</v>
      </c>
      <c r="AD73" s="278">
        <f t="shared" ca="1" si="21"/>
        <v>0</v>
      </c>
      <c r="AE73" s="278">
        <f t="shared" ca="1" si="21"/>
        <v>0</v>
      </c>
      <c r="AF73" s="204" t="str">
        <f>A73</f>
        <v>Nachtdienst</v>
      </c>
      <c r="AG73" s="227"/>
      <c r="AH73" s="237">
        <f ca="1">SUM(B73:AE73)</f>
        <v>0</v>
      </c>
      <c r="AI73" s="228">
        <f ca="1">IF(OR(T.50_Vetsuisse,T.ServiceCenterIrchel),AH69,
IFERROR(SUMPRODUCT((B77:AE77&gt;0)*(B77:AE77&lt;&gt;"")),0))</f>
        <v>0</v>
      </c>
      <c r="AJ73" s="223"/>
      <c r="AK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L73" s="208"/>
      <c r="AM73" s="244">
        <f ca="1">AH73+AK73</f>
        <v>0</v>
      </c>
      <c r="AN73" s="207"/>
      <c r="AO73" s="207"/>
      <c r="AP73" s="118"/>
    </row>
    <row r="74" spans="1:42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04"/>
      <c r="AG74" s="187"/>
      <c r="AH74" s="212"/>
      <c r="AI74" s="213"/>
      <c r="AJ74" s="208"/>
      <c r="AK74" s="208"/>
      <c r="AL74" s="208"/>
      <c r="AM74" s="207"/>
      <c r="AN74" s="208"/>
      <c r="AO74" s="208"/>
      <c r="AP74" s="118"/>
    </row>
    <row r="75" spans="1:42" s="38" customFormat="1" ht="16.5" hidden="1" customHeight="1" outlineLevel="1" x14ac:dyDescent="0.2">
      <c r="A75" s="214" t="s">
        <v>245</v>
      </c>
      <c r="B75" s="215">
        <f t="shared" ref="B75:AE75" ca="1" si="22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2"/>
        <v>0</v>
      </c>
      <c r="D75" s="215">
        <f t="shared" ca="1" si="22"/>
        <v>0</v>
      </c>
      <c r="E75" s="215">
        <f t="shared" ca="1" si="22"/>
        <v>0</v>
      </c>
      <c r="F75" s="215">
        <f t="shared" ca="1" si="22"/>
        <v>0</v>
      </c>
      <c r="G75" s="215">
        <f t="shared" ca="1" si="22"/>
        <v>0</v>
      </c>
      <c r="H75" s="215">
        <f t="shared" ca="1" si="22"/>
        <v>0</v>
      </c>
      <c r="I75" s="215">
        <f t="shared" ca="1" si="22"/>
        <v>0</v>
      </c>
      <c r="J75" s="215">
        <f t="shared" ca="1" si="22"/>
        <v>0</v>
      </c>
      <c r="K75" s="215">
        <f t="shared" ca="1" si="22"/>
        <v>0</v>
      </c>
      <c r="L75" s="215">
        <f t="shared" ca="1" si="22"/>
        <v>0</v>
      </c>
      <c r="M75" s="215">
        <f t="shared" ca="1" si="22"/>
        <v>0</v>
      </c>
      <c r="N75" s="215">
        <f t="shared" ca="1" si="22"/>
        <v>0</v>
      </c>
      <c r="O75" s="215">
        <f t="shared" ca="1" si="22"/>
        <v>0</v>
      </c>
      <c r="P75" s="215">
        <f t="shared" ca="1" si="22"/>
        <v>0</v>
      </c>
      <c r="Q75" s="215">
        <f t="shared" ca="1" si="22"/>
        <v>0</v>
      </c>
      <c r="R75" s="215">
        <f t="shared" ca="1" si="22"/>
        <v>0</v>
      </c>
      <c r="S75" s="215">
        <f t="shared" ca="1" si="22"/>
        <v>0</v>
      </c>
      <c r="T75" s="215">
        <f t="shared" ca="1" si="22"/>
        <v>0</v>
      </c>
      <c r="U75" s="215">
        <f t="shared" ca="1" si="22"/>
        <v>0</v>
      </c>
      <c r="V75" s="215">
        <f t="shared" ca="1" si="22"/>
        <v>0</v>
      </c>
      <c r="W75" s="215">
        <f t="shared" ca="1" si="22"/>
        <v>0</v>
      </c>
      <c r="X75" s="215">
        <f t="shared" ca="1" si="22"/>
        <v>0</v>
      </c>
      <c r="Y75" s="215">
        <f t="shared" ca="1" si="22"/>
        <v>0</v>
      </c>
      <c r="Z75" s="215">
        <f t="shared" ca="1" si="22"/>
        <v>0</v>
      </c>
      <c r="AA75" s="215">
        <f t="shared" ca="1" si="22"/>
        <v>0</v>
      </c>
      <c r="AB75" s="215">
        <f t="shared" ca="1" si="22"/>
        <v>0</v>
      </c>
      <c r="AC75" s="215">
        <f t="shared" ca="1" si="22"/>
        <v>0</v>
      </c>
      <c r="AD75" s="215">
        <f t="shared" ca="1" si="22"/>
        <v>0</v>
      </c>
      <c r="AE75" s="215">
        <f t="shared" ca="1" si="22"/>
        <v>0</v>
      </c>
      <c r="AF75" s="216" t="str">
        <f>A75</f>
        <v>Total ND Stunden heute</v>
      </c>
      <c r="AG75" s="187"/>
      <c r="AH75" s="212"/>
      <c r="AI75" s="213"/>
      <c r="AJ75" s="208"/>
      <c r="AK75" s="208"/>
      <c r="AL75" s="208"/>
      <c r="AM75" s="207"/>
      <c r="AN75" s="208"/>
      <c r="AO75" s="208"/>
      <c r="AP75" s="118"/>
    </row>
    <row r="76" spans="1:42" s="38" customFormat="1" ht="16.5" hidden="1" customHeight="1" outlineLevel="1" x14ac:dyDescent="0.2">
      <c r="A76" s="214" t="s">
        <v>246</v>
      </c>
      <c r="B76" s="224">
        <f t="shared" ref="B76:AE76" ca="1" si="23">B73-B75</f>
        <v>0</v>
      </c>
      <c r="C76" s="224">
        <f t="shared" ca="1" si="23"/>
        <v>0</v>
      </c>
      <c r="D76" s="224">
        <f t="shared" ca="1" si="23"/>
        <v>0</v>
      </c>
      <c r="E76" s="224">
        <f t="shared" ca="1" si="23"/>
        <v>0</v>
      </c>
      <c r="F76" s="224">
        <f t="shared" ca="1" si="23"/>
        <v>0</v>
      </c>
      <c r="G76" s="224">
        <f t="shared" ca="1" si="23"/>
        <v>0</v>
      </c>
      <c r="H76" s="224">
        <f t="shared" ca="1" si="23"/>
        <v>0</v>
      </c>
      <c r="I76" s="224">
        <f t="shared" ca="1" si="23"/>
        <v>0</v>
      </c>
      <c r="J76" s="224">
        <f t="shared" ca="1" si="23"/>
        <v>0</v>
      </c>
      <c r="K76" s="224">
        <f t="shared" ca="1" si="23"/>
        <v>0</v>
      </c>
      <c r="L76" s="224">
        <f t="shared" ca="1" si="23"/>
        <v>0</v>
      </c>
      <c r="M76" s="224">
        <f t="shared" ca="1" si="23"/>
        <v>0</v>
      </c>
      <c r="N76" s="224">
        <f t="shared" ca="1" si="23"/>
        <v>0</v>
      </c>
      <c r="O76" s="224">
        <f t="shared" ca="1" si="23"/>
        <v>0</v>
      </c>
      <c r="P76" s="224">
        <f t="shared" ca="1" si="23"/>
        <v>0</v>
      </c>
      <c r="Q76" s="224">
        <f t="shared" ca="1" si="23"/>
        <v>0</v>
      </c>
      <c r="R76" s="224">
        <f t="shared" ca="1" si="23"/>
        <v>0</v>
      </c>
      <c r="S76" s="224">
        <f t="shared" ca="1" si="23"/>
        <v>0</v>
      </c>
      <c r="T76" s="224">
        <f t="shared" ca="1" si="23"/>
        <v>0</v>
      </c>
      <c r="U76" s="224">
        <f t="shared" ca="1" si="23"/>
        <v>0</v>
      </c>
      <c r="V76" s="224">
        <f t="shared" ca="1" si="23"/>
        <v>0</v>
      </c>
      <c r="W76" s="224">
        <f t="shared" ca="1" si="23"/>
        <v>0</v>
      </c>
      <c r="X76" s="224">
        <f t="shared" ca="1" si="23"/>
        <v>0</v>
      </c>
      <c r="Y76" s="224">
        <f t="shared" ca="1" si="23"/>
        <v>0</v>
      </c>
      <c r="Z76" s="224">
        <f t="shared" ca="1" si="23"/>
        <v>0</v>
      </c>
      <c r="AA76" s="224">
        <f t="shared" ca="1" si="23"/>
        <v>0</v>
      </c>
      <c r="AB76" s="224">
        <f t="shared" ca="1" si="23"/>
        <v>0</v>
      </c>
      <c r="AC76" s="224">
        <f t="shared" ca="1" si="23"/>
        <v>0</v>
      </c>
      <c r="AD76" s="224">
        <f t="shared" ca="1" si="23"/>
        <v>0</v>
      </c>
      <c r="AE76" s="224">
        <f t="shared" ca="1" si="23"/>
        <v>0</v>
      </c>
      <c r="AF76" s="216" t="str">
        <f>A76</f>
        <v>Total ND Stunden gestern</v>
      </c>
      <c r="AG76" s="187"/>
      <c r="AH76" s="212"/>
      <c r="AI76" s="213"/>
      <c r="AJ76" s="208"/>
      <c r="AK76" s="208"/>
      <c r="AL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M76" s="207"/>
      <c r="AN76" s="208"/>
      <c r="AO76" s="208"/>
      <c r="AP76" s="118"/>
    </row>
    <row r="77" spans="1:42" s="38" customFormat="1" ht="16.5" hidden="1" customHeight="1" outlineLevel="1" x14ac:dyDescent="0.2">
      <c r="A77" s="214" t="s">
        <v>247</v>
      </c>
      <c r="B77" s="215">
        <f t="shared" ref="B77:AE77" ca="1" si="24">B75+IF(B$10=EOMONTH(B$10,0),$AL76,OFFSET(B76,0,1))</f>
        <v>0</v>
      </c>
      <c r="C77" s="215">
        <f t="shared" ca="1" si="24"/>
        <v>0</v>
      </c>
      <c r="D77" s="215">
        <f t="shared" ca="1" si="24"/>
        <v>0</v>
      </c>
      <c r="E77" s="215">
        <f t="shared" ca="1" si="24"/>
        <v>0</v>
      </c>
      <c r="F77" s="215">
        <f t="shared" ca="1" si="24"/>
        <v>0</v>
      </c>
      <c r="G77" s="215">
        <f t="shared" ca="1" si="24"/>
        <v>0</v>
      </c>
      <c r="H77" s="215">
        <f t="shared" ca="1" si="24"/>
        <v>0</v>
      </c>
      <c r="I77" s="215">
        <f t="shared" ca="1" si="24"/>
        <v>0</v>
      </c>
      <c r="J77" s="215">
        <f t="shared" ca="1" si="24"/>
        <v>0</v>
      </c>
      <c r="K77" s="215">
        <f t="shared" ca="1" si="24"/>
        <v>0</v>
      </c>
      <c r="L77" s="215">
        <f t="shared" ca="1" si="24"/>
        <v>0</v>
      </c>
      <c r="M77" s="215">
        <f t="shared" ca="1" si="24"/>
        <v>0</v>
      </c>
      <c r="N77" s="215">
        <f t="shared" ca="1" si="24"/>
        <v>0</v>
      </c>
      <c r="O77" s="215">
        <f t="shared" ca="1" si="24"/>
        <v>0</v>
      </c>
      <c r="P77" s="215">
        <f t="shared" ca="1" si="24"/>
        <v>0</v>
      </c>
      <c r="Q77" s="215">
        <f t="shared" ca="1" si="24"/>
        <v>0</v>
      </c>
      <c r="R77" s="215">
        <f t="shared" ca="1" si="24"/>
        <v>0</v>
      </c>
      <c r="S77" s="215">
        <f t="shared" ca="1" si="24"/>
        <v>0</v>
      </c>
      <c r="T77" s="215">
        <f t="shared" ca="1" si="24"/>
        <v>0</v>
      </c>
      <c r="U77" s="215">
        <f t="shared" ca="1" si="24"/>
        <v>0</v>
      </c>
      <c r="V77" s="215">
        <f t="shared" ca="1" si="24"/>
        <v>0</v>
      </c>
      <c r="W77" s="215">
        <f t="shared" ca="1" si="24"/>
        <v>0</v>
      </c>
      <c r="X77" s="215">
        <f t="shared" ca="1" si="24"/>
        <v>0</v>
      </c>
      <c r="Y77" s="215">
        <f t="shared" ca="1" si="24"/>
        <v>0</v>
      </c>
      <c r="Z77" s="215">
        <f t="shared" ca="1" si="24"/>
        <v>0</v>
      </c>
      <c r="AA77" s="215">
        <f t="shared" ca="1" si="24"/>
        <v>0</v>
      </c>
      <c r="AB77" s="215">
        <f t="shared" ca="1" si="24"/>
        <v>0</v>
      </c>
      <c r="AC77" s="215">
        <f t="shared" ca="1" si="24"/>
        <v>0</v>
      </c>
      <c r="AD77" s="215">
        <f t="shared" ca="1" si="24"/>
        <v>0</v>
      </c>
      <c r="AE77" s="215">
        <f t="shared" ca="1" si="24"/>
        <v>0</v>
      </c>
      <c r="AF77" s="216" t="str">
        <f>A77</f>
        <v>Total ND Stunden</v>
      </c>
      <c r="AG77" s="217"/>
      <c r="AH77" s="218">
        <f ca="1">SUM(B77:AE77)</f>
        <v>0</v>
      </c>
      <c r="AI77" s="213"/>
      <c r="AJ77" s="208"/>
      <c r="AK77" s="208"/>
      <c r="AL77" s="208"/>
      <c r="AM77" s="207"/>
      <c r="AN77" s="208"/>
      <c r="AO77" s="208"/>
      <c r="AP77" s="118"/>
    </row>
    <row r="78" spans="1:42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04"/>
      <c r="AG78" s="232"/>
      <c r="AH78" s="221"/>
      <c r="AI78" s="213"/>
      <c r="AJ78" s="208"/>
      <c r="AK78" s="208"/>
      <c r="AL78" s="208"/>
      <c r="AM78" s="207"/>
      <c r="AN78" s="208"/>
      <c r="AO78" s="208"/>
      <c r="AP78" s="118"/>
    </row>
    <row r="79" spans="1:42" s="38" customFormat="1" ht="15" customHeight="1" outlineLevel="1" x14ac:dyDescent="0.2">
      <c r="A79" s="211" t="s">
        <v>194</v>
      </c>
      <c r="B79" s="278">
        <f t="shared" ref="B79:AE79" ca="1" si="25">IF(AND(T.50_Vetsuisse,B70&gt;24),ROUND(B73*T.50_VetsuisseZZSND*1440,0)/1440,
IF(AND(T.ServiceCenterIrchel,B69&gt;0,B77&gt;=ROUND(1/24*8*1440,0)/1440),ROUND(B77*T.ServiceCenterIrchelZZSND*1440,0)/1440,
IF(AND(T.MedizinischeMikrobiologie,B69&gt;0,B77+IF(B$10=EOMONTH(B$10,0),$AL81,OFFSET(B81,0,1))&gt;=ROUND(1/24*8*1440,0)/1440),ROUND(B77*T.MedizinischeMikrobiologieZZSND*1440,0)/1440,)))</f>
        <v>0</v>
      </c>
      <c r="C79" s="278">
        <f t="shared" ca="1" si="25"/>
        <v>0</v>
      </c>
      <c r="D79" s="278">
        <f t="shared" ca="1" si="25"/>
        <v>0</v>
      </c>
      <c r="E79" s="278">
        <f t="shared" ca="1" si="25"/>
        <v>0</v>
      </c>
      <c r="F79" s="278">
        <f t="shared" ca="1" si="25"/>
        <v>0</v>
      </c>
      <c r="G79" s="278">
        <f t="shared" ca="1" si="25"/>
        <v>0</v>
      </c>
      <c r="H79" s="278">
        <f t="shared" ca="1" si="25"/>
        <v>0</v>
      </c>
      <c r="I79" s="278">
        <f t="shared" ca="1" si="25"/>
        <v>0</v>
      </c>
      <c r="J79" s="278">
        <f t="shared" ca="1" si="25"/>
        <v>0</v>
      </c>
      <c r="K79" s="278">
        <f t="shared" ca="1" si="25"/>
        <v>0</v>
      </c>
      <c r="L79" s="278">
        <f t="shared" ca="1" si="25"/>
        <v>0</v>
      </c>
      <c r="M79" s="278">
        <f t="shared" ca="1" si="25"/>
        <v>0</v>
      </c>
      <c r="N79" s="278">
        <f t="shared" ca="1" si="25"/>
        <v>0</v>
      </c>
      <c r="O79" s="278">
        <f t="shared" ca="1" si="25"/>
        <v>0</v>
      </c>
      <c r="P79" s="278">
        <f t="shared" ca="1" si="25"/>
        <v>0</v>
      </c>
      <c r="Q79" s="278">
        <f t="shared" ca="1" si="25"/>
        <v>0</v>
      </c>
      <c r="R79" s="278">
        <f t="shared" ca="1" si="25"/>
        <v>0</v>
      </c>
      <c r="S79" s="278">
        <f t="shared" ca="1" si="25"/>
        <v>0</v>
      </c>
      <c r="T79" s="278">
        <f t="shared" ca="1" si="25"/>
        <v>0</v>
      </c>
      <c r="U79" s="278">
        <f t="shared" ca="1" si="25"/>
        <v>0</v>
      </c>
      <c r="V79" s="278">
        <f t="shared" ca="1" si="25"/>
        <v>0</v>
      </c>
      <c r="W79" s="278">
        <f t="shared" ca="1" si="25"/>
        <v>0</v>
      </c>
      <c r="X79" s="278">
        <f t="shared" ca="1" si="25"/>
        <v>0</v>
      </c>
      <c r="Y79" s="278">
        <f t="shared" ca="1" si="25"/>
        <v>0</v>
      </c>
      <c r="Z79" s="278">
        <f t="shared" ca="1" si="25"/>
        <v>0</v>
      </c>
      <c r="AA79" s="278">
        <f t="shared" ca="1" si="25"/>
        <v>0</v>
      </c>
      <c r="AB79" s="278">
        <f t="shared" ca="1" si="25"/>
        <v>0</v>
      </c>
      <c r="AC79" s="278">
        <f t="shared" ca="1" si="25"/>
        <v>0</v>
      </c>
      <c r="AD79" s="278">
        <f t="shared" ca="1" si="25"/>
        <v>0</v>
      </c>
      <c r="AE79" s="278">
        <f t="shared" ca="1" si="25"/>
        <v>0</v>
      </c>
      <c r="AF79" s="204" t="str">
        <f>A79</f>
        <v>Zeitzuschlag Nachtdienst</v>
      </c>
      <c r="AG79" s="272"/>
      <c r="AH79" s="237">
        <f ca="1">SUM(B79:AE79)</f>
        <v>0</v>
      </c>
      <c r="AI79" s="259"/>
      <c r="AJ79" s="223"/>
      <c r="AK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L79" s="208"/>
      <c r="AM79" s="244">
        <f ca="1">AH79+AK79-AH71</f>
        <v>0</v>
      </c>
      <c r="AN79" s="244">
        <f ca="1">OFFSET(Jahr.ZZSNDSaldo,-13+MONTH(Monat.Tag1),0,1,1)</f>
        <v>0</v>
      </c>
      <c r="AO79" s="244">
        <f ca="1">Jahr.ZZSNDSaldo</f>
        <v>0</v>
      </c>
      <c r="AP79" s="118"/>
    </row>
    <row r="80" spans="1:42" s="38" customFormat="1" ht="15" customHeight="1" outlineLevel="1" x14ac:dyDescent="0.2">
      <c r="A80" s="211" t="s">
        <v>196</v>
      </c>
      <c r="B80" s="278" t="str">
        <f t="shared" ref="B80:AE80" si="26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6"/>
        <v/>
      </c>
      <c r="D80" s="278" t="str">
        <f t="shared" si="26"/>
        <v/>
      </c>
      <c r="E80" s="278" t="str">
        <f t="shared" si="26"/>
        <v/>
      </c>
      <c r="F80" s="278" t="str">
        <f t="shared" si="26"/>
        <v/>
      </c>
      <c r="G80" s="278" t="str">
        <f t="shared" si="26"/>
        <v/>
      </c>
      <c r="H80" s="278" t="str">
        <f t="shared" si="26"/>
        <v/>
      </c>
      <c r="I80" s="278" t="str">
        <f t="shared" si="26"/>
        <v/>
      </c>
      <c r="J80" s="278" t="str">
        <f t="shared" si="26"/>
        <v/>
      </c>
      <c r="K80" s="278" t="str">
        <f t="shared" si="26"/>
        <v/>
      </c>
      <c r="L80" s="278" t="str">
        <f t="shared" si="26"/>
        <v/>
      </c>
      <c r="M80" s="278" t="str">
        <f t="shared" si="26"/>
        <v/>
      </c>
      <c r="N80" s="278" t="str">
        <f t="shared" si="26"/>
        <v/>
      </c>
      <c r="O80" s="278" t="str">
        <f t="shared" si="26"/>
        <v/>
      </c>
      <c r="P80" s="278" t="str">
        <f t="shared" si="26"/>
        <v/>
      </c>
      <c r="Q80" s="278" t="str">
        <f t="shared" si="26"/>
        <v/>
      </c>
      <c r="R80" s="278" t="str">
        <f t="shared" si="26"/>
        <v/>
      </c>
      <c r="S80" s="278" t="str">
        <f t="shared" si="26"/>
        <v/>
      </c>
      <c r="T80" s="278" t="str">
        <f t="shared" si="26"/>
        <v/>
      </c>
      <c r="U80" s="278" t="str">
        <f t="shared" si="26"/>
        <v/>
      </c>
      <c r="V80" s="278" t="str">
        <f t="shared" si="26"/>
        <v/>
      </c>
      <c r="W80" s="278" t="str">
        <f t="shared" si="26"/>
        <v/>
      </c>
      <c r="X80" s="278" t="str">
        <f t="shared" si="26"/>
        <v/>
      </c>
      <c r="Y80" s="278" t="str">
        <f t="shared" si="26"/>
        <v/>
      </c>
      <c r="Z80" s="278" t="str">
        <f t="shared" si="26"/>
        <v/>
      </c>
      <c r="AA80" s="278" t="str">
        <f t="shared" si="26"/>
        <v/>
      </c>
      <c r="AB80" s="278" t="str">
        <f t="shared" si="26"/>
        <v/>
      </c>
      <c r="AC80" s="278" t="str">
        <f t="shared" si="26"/>
        <v/>
      </c>
      <c r="AD80" s="278" t="str">
        <f t="shared" si="26"/>
        <v/>
      </c>
      <c r="AE80" s="278" t="str">
        <f t="shared" si="26"/>
        <v/>
      </c>
      <c r="AF80" s="204" t="str">
        <f>A80</f>
        <v>Abendarbeit</v>
      </c>
      <c r="AG80" s="272"/>
      <c r="AH80" s="237">
        <f>SUM(B80:AE80)</f>
        <v>0</v>
      </c>
      <c r="AI80" s="259"/>
      <c r="AJ80" s="223"/>
      <c r="AK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L80" s="208"/>
      <c r="AM80" s="244">
        <f ca="1">AH80+AK80</f>
        <v>0</v>
      </c>
      <c r="AN80" s="207"/>
      <c r="AO80" s="207"/>
      <c r="AP80" s="118"/>
    </row>
    <row r="81" spans="1:42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04" t="str">
        <f>A81</f>
        <v>Bereitschaftsdienst</v>
      </c>
      <c r="AG81" s="272"/>
      <c r="AH81" s="237">
        <f ca="1">SUM(B81:AE81)</f>
        <v>0</v>
      </c>
      <c r="AI81" s="259"/>
      <c r="AJ81" s="223"/>
      <c r="AK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L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M81" s="244">
        <f ca="1">AH81+AK81</f>
        <v>0</v>
      </c>
      <c r="AN81" s="207"/>
      <c r="AO81" s="207"/>
      <c r="AP81" s="118"/>
    </row>
    <row r="82" spans="1:42" s="38" customFormat="1" ht="15" customHeight="1" outlineLevel="1" x14ac:dyDescent="0.2">
      <c r="A82" s="211" t="s">
        <v>79</v>
      </c>
      <c r="B82" s="278">
        <f t="shared" ref="B82:AE82" ca="1" si="27">IF(B$12=0,"",IF(OR(WEEKDAY(B$10,2)&gt;5,B$11=0),
IF(T.50_NoVetsuisse,B45,
IF(OR(T.50_Vetsuisse,T.ServiceCenterIrchel,T.MedizinischeMikrobiologie),IF(B23-B73=0,"",B23-B73),
B60)),))</f>
        <v>0</v>
      </c>
      <c r="C82" s="278" t="str">
        <f t="shared" ca="1" si="27"/>
        <v/>
      </c>
      <c r="D82" s="279" t="str">
        <f t="shared" ca="1" si="27"/>
        <v/>
      </c>
      <c r="E82" s="278">
        <f t="shared" ca="1" si="27"/>
        <v>0</v>
      </c>
      <c r="F82" s="279">
        <f t="shared" ca="1" si="27"/>
        <v>0</v>
      </c>
      <c r="G82" s="279">
        <f t="shared" ca="1" si="27"/>
        <v>0</v>
      </c>
      <c r="H82" s="279">
        <f t="shared" ca="1" si="27"/>
        <v>0</v>
      </c>
      <c r="I82" s="279">
        <f t="shared" ca="1" si="27"/>
        <v>0</v>
      </c>
      <c r="J82" s="278" t="str">
        <f t="shared" ca="1" si="27"/>
        <v/>
      </c>
      <c r="K82" s="279" t="str">
        <f t="shared" ca="1" si="27"/>
        <v/>
      </c>
      <c r="L82" s="278">
        <f t="shared" ca="1" si="27"/>
        <v>0</v>
      </c>
      <c r="M82" s="279">
        <f t="shared" ca="1" si="27"/>
        <v>0</v>
      </c>
      <c r="N82" s="279">
        <f t="shared" ca="1" si="27"/>
        <v>0</v>
      </c>
      <c r="O82" s="279">
        <f t="shared" ca="1" si="27"/>
        <v>0</v>
      </c>
      <c r="P82" s="279" t="str">
        <f t="shared" ca="1" si="27"/>
        <v/>
      </c>
      <c r="Q82" s="278" t="str">
        <f t="shared" ca="1" si="27"/>
        <v/>
      </c>
      <c r="R82" s="279" t="str">
        <f t="shared" ca="1" si="27"/>
        <v/>
      </c>
      <c r="S82" s="278" t="str">
        <f t="shared" ca="1" si="27"/>
        <v/>
      </c>
      <c r="T82" s="278">
        <f t="shared" ca="1" si="27"/>
        <v>0</v>
      </c>
      <c r="U82" s="279">
        <f t="shared" ca="1" si="27"/>
        <v>0</v>
      </c>
      <c r="V82" s="279">
        <f t="shared" ca="1" si="27"/>
        <v>0</v>
      </c>
      <c r="W82" s="279">
        <f t="shared" ca="1" si="27"/>
        <v>0</v>
      </c>
      <c r="X82" s="278" t="str">
        <f t="shared" ca="1" si="27"/>
        <v/>
      </c>
      <c r="Y82" s="279" t="str">
        <f t="shared" ca="1" si="27"/>
        <v/>
      </c>
      <c r="Z82" s="280">
        <f t="shared" ca="1" si="27"/>
        <v>0</v>
      </c>
      <c r="AA82" s="279">
        <f t="shared" ca="1" si="27"/>
        <v>0</v>
      </c>
      <c r="AB82" s="279">
        <f t="shared" ca="1" si="27"/>
        <v>0</v>
      </c>
      <c r="AC82" s="279">
        <f t="shared" ca="1" si="27"/>
        <v>0</v>
      </c>
      <c r="AD82" s="279">
        <f t="shared" ca="1" si="27"/>
        <v>0</v>
      </c>
      <c r="AE82" s="278" t="str">
        <f t="shared" ca="1" si="27"/>
        <v/>
      </c>
      <c r="AF82" s="204" t="str">
        <f>A82</f>
        <v>Samstag-/Sonntagdienst</v>
      </c>
      <c r="AG82" s="227"/>
      <c r="AH82" s="237">
        <f ca="1">SUM(B82:AE82)</f>
        <v>0</v>
      </c>
      <c r="AI82" s="228">
        <f ca="1">IFERROR(SUMPRODUCT((B82:AE82&gt;0)*(B82:AE82&lt;&gt;"")),0)</f>
        <v>0</v>
      </c>
      <c r="AJ82" s="223"/>
      <c r="AK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L82" s="208"/>
      <c r="AM82" s="244">
        <f ca="1">AH82+AK82</f>
        <v>0</v>
      </c>
      <c r="AN82" s="207"/>
      <c r="AO82" s="207"/>
      <c r="AP82" s="118"/>
    </row>
    <row r="83" spans="1:42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04"/>
      <c r="AG83" s="227"/>
      <c r="AH83" s="223"/>
      <c r="AI83" s="276"/>
      <c r="AJ83" s="260"/>
      <c r="AK83" s="260"/>
      <c r="AL83" s="208"/>
      <c r="AM83" s="277"/>
      <c r="AN83" s="281"/>
      <c r="AO83" s="281"/>
      <c r="AP83" s="118"/>
    </row>
    <row r="84" spans="1:42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204" t="str">
        <f>A84 &amp; IFERROR(IF(AND(MONTH(Monat.Tag1)=6,EB.Jahr&gt;2020),IF(SUM(Jahresabrechnung!AC15:AC20)&lt;EB.FerienBer,IF(EB.Sprache="EN"," (Balance PY "," (Saldo VJ ") &amp; " &gt; 0!)",""),""),"")</f>
        <v>Ferien</v>
      </c>
      <c r="AG84" s="217"/>
      <c r="AH84" s="237">
        <f>SUM(B84:AE84)</f>
        <v>0</v>
      </c>
      <c r="AI84" s="259"/>
      <c r="AJ84" s="243">
        <f ca="1">OFFSET(EB.MFAStd.Knoten,MONTH(Monat.Tag1),0,1,1)</f>
        <v>0</v>
      </c>
      <c r="AK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L84" s="208"/>
      <c r="AM84" s="244">
        <f ca="1">ROUND(IF(AG85="+",(AJ84+AK84-Monat.Ferien.Total+AH85),(AJ84+AK84-Monat.Ferien.Total-AH85))*1440,0)/1440</f>
        <v>0</v>
      </c>
      <c r="AN84" s="244">
        <f ca="1">SUM(Jahresabrechnung!AC12:AC13)-SUM(OFFSET(Jahresabrechnung!AC15,0,0,MONTH(Monat.Tag1),1))</f>
        <v>0</v>
      </c>
      <c r="AO84" s="244">
        <f ca="1">J.FerienUE.Total</f>
        <v>0</v>
      </c>
      <c r="AP84" s="118"/>
    </row>
    <row r="85" spans="1:42" s="38" customFormat="1" ht="15" customHeight="1" x14ac:dyDescent="0.2">
      <c r="A85" s="219"/>
      <c r="B85" s="435">
        <f t="shared" ref="B85:AE85" ca="1" si="28">IF(DAY(B$10)=1,Monat.Ferien.JS+Monat.Ferien.Total-B84,A85-B84)</f>
        <v>0</v>
      </c>
      <c r="C85" s="435">
        <f t="shared" ca="1" si="28"/>
        <v>0</v>
      </c>
      <c r="D85" s="435">
        <f t="shared" ca="1" si="28"/>
        <v>0</v>
      </c>
      <c r="E85" s="435">
        <f t="shared" ca="1" si="28"/>
        <v>0</v>
      </c>
      <c r="F85" s="435">
        <f t="shared" ca="1" si="28"/>
        <v>0</v>
      </c>
      <c r="G85" s="435">
        <f t="shared" ca="1" si="28"/>
        <v>0</v>
      </c>
      <c r="H85" s="435">
        <f t="shared" ca="1" si="28"/>
        <v>0</v>
      </c>
      <c r="I85" s="435">
        <f t="shared" ca="1" si="28"/>
        <v>0</v>
      </c>
      <c r="J85" s="435">
        <f t="shared" ca="1" si="28"/>
        <v>0</v>
      </c>
      <c r="K85" s="435">
        <f t="shared" ca="1" si="28"/>
        <v>0</v>
      </c>
      <c r="L85" s="435">
        <f t="shared" ca="1" si="28"/>
        <v>0</v>
      </c>
      <c r="M85" s="435">
        <f t="shared" ca="1" si="28"/>
        <v>0</v>
      </c>
      <c r="N85" s="435">
        <f t="shared" ca="1" si="28"/>
        <v>0</v>
      </c>
      <c r="O85" s="435">
        <f t="shared" ca="1" si="28"/>
        <v>0</v>
      </c>
      <c r="P85" s="435">
        <f t="shared" ca="1" si="28"/>
        <v>0</v>
      </c>
      <c r="Q85" s="435">
        <f t="shared" ca="1" si="28"/>
        <v>0</v>
      </c>
      <c r="R85" s="435">
        <f t="shared" ca="1" si="28"/>
        <v>0</v>
      </c>
      <c r="S85" s="435">
        <f t="shared" ca="1" si="28"/>
        <v>0</v>
      </c>
      <c r="T85" s="435">
        <f t="shared" ca="1" si="28"/>
        <v>0</v>
      </c>
      <c r="U85" s="435">
        <f t="shared" ca="1" si="28"/>
        <v>0</v>
      </c>
      <c r="V85" s="435">
        <f t="shared" ca="1" si="28"/>
        <v>0</v>
      </c>
      <c r="W85" s="435">
        <f t="shared" ca="1" si="28"/>
        <v>0</v>
      </c>
      <c r="X85" s="435">
        <f t="shared" ca="1" si="28"/>
        <v>0</v>
      </c>
      <c r="Y85" s="435">
        <f t="shared" ca="1" si="28"/>
        <v>0</v>
      </c>
      <c r="Z85" s="435">
        <f t="shared" ca="1" si="28"/>
        <v>0</v>
      </c>
      <c r="AA85" s="435">
        <f t="shared" ca="1" si="28"/>
        <v>0</v>
      </c>
      <c r="AB85" s="435">
        <f t="shared" ca="1" si="28"/>
        <v>0</v>
      </c>
      <c r="AC85" s="435">
        <f t="shared" ca="1" si="28"/>
        <v>0</v>
      </c>
      <c r="AD85" s="435">
        <f t="shared" ca="1" si="28"/>
        <v>0</v>
      </c>
      <c r="AE85" s="435">
        <f t="shared" ca="1" si="28"/>
        <v>0</v>
      </c>
      <c r="AF85" s="211" t="s">
        <v>68</v>
      </c>
      <c r="AG85" s="45" t="s">
        <v>27</v>
      </c>
      <c r="AH85" s="48"/>
      <c r="AI85" s="268"/>
      <c r="AJ85" s="208"/>
      <c r="AK85" s="208"/>
      <c r="AL85" s="208"/>
      <c r="AM85" s="207"/>
      <c r="AN85" s="282"/>
      <c r="AO85" s="282"/>
      <c r="AP85" s="118"/>
    </row>
    <row r="86" spans="1:42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204" t="str">
        <f t="shared" ref="AF86:AF95" si="29">A86</f>
        <v>Arztbesuch</v>
      </c>
      <c r="AG86" s="217"/>
      <c r="AH86" s="237">
        <f t="shared" ref="AH86:AH95" si="30">SUM(B86:AE86)</f>
        <v>0</v>
      </c>
      <c r="AI86" s="259"/>
      <c r="AJ86" s="260"/>
      <c r="AK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L86" s="208"/>
      <c r="AM86" s="244">
        <f t="shared" ref="AM86:AM94" ca="1" si="31">AH86+AK86</f>
        <v>0</v>
      </c>
      <c r="AN86" s="207"/>
      <c r="AO86" s="207"/>
      <c r="AP86" s="118"/>
    </row>
    <row r="87" spans="1:42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204" t="str">
        <f t="shared" si="29"/>
        <v>Krankheit</v>
      </c>
      <c r="AG87" s="217"/>
      <c r="AH87" s="237">
        <f t="shared" si="30"/>
        <v>0</v>
      </c>
      <c r="AI87" s="259"/>
      <c r="AJ87" s="260"/>
      <c r="AK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L87" s="208"/>
      <c r="AM87" s="244">
        <f t="shared" ca="1" si="31"/>
        <v>0</v>
      </c>
      <c r="AN87" s="207"/>
      <c r="AO87" s="207"/>
      <c r="AP87" s="118"/>
    </row>
    <row r="88" spans="1:42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204" t="str">
        <f t="shared" si="29"/>
        <v>Berufsunfall</v>
      </c>
      <c r="AG88" s="217"/>
      <c r="AH88" s="237">
        <f t="shared" si="30"/>
        <v>0</v>
      </c>
      <c r="AI88" s="259"/>
      <c r="AJ88" s="260"/>
      <c r="AK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L88" s="208"/>
      <c r="AM88" s="244">
        <f t="shared" ca="1" si="31"/>
        <v>0</v>
      </c>
      <c r="AN88" s="207"/>
      <c r="AO88" s="207"/>
      <c r="AP88" s="118"/>
    </row>
    <row r="89" spans="1:42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204" t="str">
        <f t="shared" si="29"/>
        <v>Nichtberufsunfall</v>
      </c>
      <c r="AG89" s="217"/>
      <c r="AH89" s="237">
        <f t="shared" si="30"/>
        <v>0</v>
      </c>
      <c r="AI89" s="259"/>
      <c r="AJ89" s="260"/>
      <c r="AK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L89" s="208"/>
      <c r="AM89" s="244">
        <f t="shared" ca="1" si="31"/>
        <v>0</v>
      </c>
      <c r="AN89" s="207"/>
      <c r="AO89" s="207"/>
      <c r="AP89" s="118"/>
    </row>
    <row r="90" spans="1:42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204" t="str">
        <f t="shared" si="29"/>
        <v>Militär/Zivilschutz</v>
      </c>
      <c r="AG90" s="217"/>
      <c r="AH90" s="237">
        <f t="shared" si="30"/>
        <v>0</v>
      </c>
      <c r="AI90" s="259"/>
      <c r="AJ90" s="260"/>
      <c r="AK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L90" s="208"/>
      <c r="AM90" s="244">
        <f t="shared" ca="1" si="31"/>
        <v>0</v>
      </c>
      <c r="AN90" s="207"/>
      <c r="AO90" s="207"/>
      <c r="AP90" s="118"/>
    </row>
    <row r="91" spans="1:42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204" t="str">
        <f t="shared" si="29"/>
        <v>Weiterbildung</v>
      </c>
      <c r="AG91" s="217"/>
      <c r="AH91" s="237">
        <f t="shared" si="30"/>
        <v>0</v>
      </c>
      <c r="AI91" s="259"/>
      <c r="AJ91" s="260"/>
      <c r="AK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L91" s="208"/>
      <c r="AM91" s="244">
        <f t="shared" ca="1" si="31"/>
        <v>0</v>
      </c>
      <c r="AN91" s="207"/>
      <c r="AO91" s="207"/>
      <c r="AP91" s="118"/>
    </row>
    <row r="92" spans="1:42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204" t="str">
        <f t="shared" si="29"/>
        <v>Besoldeter Urlaub</v>
      </c>
      <c r="AG92" s="217"/>
      <c r="AH92" s="237">
        <f t="shared" si="30"/>
        <v>0</v>
      </c>
      <c r="AI92" s="259"/>
      <c r="AJ92" s="260"/>
      <c r="AK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L92" s="208"/>
      <c r="AM92" s="244">
        <f t="shared" ca="1" si="31"/>
        <v>0</v>
      </c>
      <c r="AN92" s="207"/>
      <c r="AO92" s="207"/>
      <c r="AP92" s="118"/>
    </row>
    <row r="93" spans="1:42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204" t="str">
        <f t="shared" si="29"/>
        <v>Unbesoldeter Urlaub</v>
      </c>
      <c r="AG93" s="217"/>
      <c r="AH93" s="237">
        <f t="shared" si="30"/>
        <v>0</v>
      </c>
      <c r="AI93" s="259"/>
      <c r="AJ93" s="260"/>
      <c r="AK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L93" s="208"/>
      <c r="AM93" s="244">
        <f t="shared" ca="1" si="31"/>
        <v>0</v>
      </c>
      <c r="AN93" s="207"/>
      <c r="AO93" s="207"/>
      <c r="AP93" s="118"/>
    </row>
    <row r="94" spans="1:42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204" t="str">
        <f t="shared" si="29"/>
        <v>Nebenbeschäftigung</v>
      </c>
      <c r="AG94" s="217"/>
      <c r="AH94" s="237">
        <f t="shared" si="30"/>
        <v>0</v>
      </c>
      <c r="AI94" s="259"/>
      <c r="AJ94" s="260"/>
      <c r="AK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L94" s="208"/>
      <c r="AM94" s="244">
        <f t="shared" ca="1" si="31"/>
        <v>0</v>
      </c>
      <c r="AN94" s="207"/>
      <c r="AO94" s="207"/>
      <c r="AP94" s="118"/>
    </row>
    <row r="95" spans="1:42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204" t="str">
        <f t="shared" si="29"/>
        <v>DAG</v>
      </c>
      <c r="AG95" s="217"/>
      <c r="AH95" s="237">
        <f t="shared" si="30"/>
        <v>0</v>
      </c>
      <c r="AI95" s="259"/>
      <c r="AJ95" s="260"/>
      <c r="AK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L95" s="208"/>
      <c r="AM95" s="244">
        <f ca="1">AK95-AH95</f>
        <v>0</v>
      </c>
      <c r="AN95" s="207"/>
      <c r="AO95" s="207"/>
      <c r="AP95" s="118"/>
    </row>
    <row r="96" spans="1:42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04"/>
      <c r="AG96" s="227"/>
      <c r="AH96" s="223"/>
      <c r="AI96" s="276"/>
      <c r="AJ96" s="260"/>
      <c r="AK96" s="260"/>
      <c r="AL96" s="208"/>
      <c r="AM96" s="277"/>
      <c r="AN96" s="212"/>
      <c r="AO96" s="212"/>
      <c r="AP96" s="118"/>
    </row>
    <row r="97" spans="1:42" s="38" customFormat="1" ht="15" customHeight="1" x14ac:dyDescent="0.2">
      <c r="A97" s="214" t="str">
        <f t="shared" ref="A97:A111" ca="1" si="32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204" t="str">
        <f t="shared" ref="AF97:AF112" ca="1" si="33">A97</f>
        <v/>
      </c>
      <c r="AG97" s="232"/>
      <c r="AH97" s="283">
        <f t="shared" ref="AH97:AH112" si="34">SUM(B97:AE97)</f>
        <v>0</v>
      </c>
      <c r="AI97" s="259"/>
      <c r="AJ97" s="223"/>
      <c r="AK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L97" s="208"/>
      <c r="AM97" s="244">
        <f t="shared" ref="AM97:AM112" ca="1" si="35">AH97+AK97</f>
        <v>0</v>
      </c>
      <c r="AN97" s="207"/>
      <c r="AO97" s="207"/>
      <c r="AP97" s="118"/>
    </row>
    <row r="98" spans="1:42" s="38" customFormat="1" ht="15" customHeight="1" x14ac:dyDescent="0.2">
      <c r="A98" s="214" t="str">
        <f t="shared" ca="1" si="32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204" t="str">
        <f t="shared" ca="1" si="33"/>
        <v/>
      </c>
      <c r="AG98" s="217"/>
      <c r="AH98" s="237">
        <f t="shared" si="34"/>
        <v>0</v>
      </c>
      <c r="AI98" s="259"/>
      <c r="AJ98" s="223"/>
      <c r="AK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L98" s="208"/>
      <c r="AM98" s="244">
        <f t="shared" ca="1" si="35"/>
        <v>0</v>
      </c>
      <c r="AN98" s="207"/>
      <c r="AO98" s="207"/>
      <c r="AP98" s="118"/>
    </row>
    <row r="99" spans="1:42" s="38" customFormat="1" ht="15" customHeight="1" x14ac:dyDescent="0.2">
      <c r="A99" s="214" t="str">
        <f t="shared" ca="1" si="32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204" t="str">
        <f t="shared" ca="1" si="33"/>
        <v/>
      </c>
      <c r="AG99" s="284"/>
      <c r="AH99" s="237">
        <f t="shared" si="34"/>
        <v>0</v>
      </c>
      <c r="AI99" s="259"/>
      <c r="AJ99" s="223"/>
      <c r="AK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L99" s="208"/>
      <c r="AM99" s="244">
        <f t="shared" ca="1" si="35"/>
        <v>0</v>
      </c>
      <c r="AN99" s="207"/>
      <c r="AO99" s="207"/>
      <c r="AP99" s="118"/>
    </row>
    <row r="100" spans="1:42" s="38" customFormat="1" ht="15" customHeight="1" x14ac:dyDescent="0.2">
      <c r="A100" s="214" t="str">
        <f t="shared" ca="1" si="32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204" t="str">
        <f t="shared" ca="1" si="33"/>
        <v/>
      </c>
      <c r="AG100" s="227"/>
      <c r="AH100" s="237">
        <f t="shared" si="34"/>
        <v>0</v>
      </c>
      <c r="AI100" s="259"/>
      <c r="AJ100" s="223"/>
      <c r="AK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L100" s="208"/>
      <c r="AM100" s="244">
        <f t="shared" ca="1" si="35"/>
        <v>0</v>
      </c>
      <c r="AN100" s="207"/>
      <c r="AO100" s="207"/>
      <c r="AP100" s="118"/>
    </row>
    <row r="101" spans="1:42" s="38" customFormat="1" ht="15" customHeight="1" x14ac:dyDescent="0.2">
      <c r="A101" s="214" t="str">
        <f t="shared" ca="1" si="32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204" t="str">
        <f t="shared" ca="1" si="33"/>
        <v/>
      </c>
      <c r="AG101" s="217"/>
      <c r="AH101" s="237">
        <f t="shared" si="34"/>
        <v>0</v>
      </c>
      <c r="AI101" s="259"/>
      <c r="AJ101" s="223"/>
      <c r="AK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L101" s="208"/>
      <c r="AM101" s="244">
        <f t="shared" ca="1" si="35"/>
        <v>0</v>
      </c>
      <c r="AN101" s="207"/>
      <c r="AO101" s="207"/>
      <c r="AP101" s="118"/>
    </row>
    <row r="102" spans="1:42" s="38" customFormat="1" ht="15" hidden="1" customHeight="1" outlineLevel="1" x14ac:dyDescent="0.2">
      <c r="A102" s="214" t="str">
        <f t="shared" ca="1" si="32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204" t="str">
        <f t="shared" ca="1" si="33"/>
        <v/>
      </c>
      <c r="AG102" s="284"/>
      <c r="AH102" s="237">
        <f t="shared" si="34"/>
        <v>0</v>
      </c>
      <c r="AI102" s="259"/>
      <c r="AJ102" s="223"/>
      <c r="AK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L102" s="208"/>
      <c r="AM102" s="244">
        <f t="shared" ca="1" si="35"/>
        <v>0</v>
      </c>
      <c r="AN102" s="207"/>
      <c r="AO102" s="207"/>
      <c r="AP102" s="118"/>
    </row>
    <row r="103" spans="1:42" s="38" customFormat="1" ht="15" hidden="1" customHeight="1" outlineLevel="1" x14ac:dyDescent="0.2">
      <c r="A103" s="214" t="str">
        <f t="shared" ca="1" si="32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204" t="str">
        <f t="shared" ca="1" si="33"/>
        <v/>
      </c>
      <c r="AG103" s="227"/>
      <c r="AH103" s="237">
        <f t="shared" si="34"/>
        <v>0</v>
      </c>
      <c r="AI103" s="259"/>
      <c r="AJ103" s="223"/>
      <c r="AK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L103" s="208"/>
      <c r="AM103" s="244">
        <f t="shared" ca="1" si="35"/>
        <v>0</v>
      </c>
      <c r="AN103" s="207"/>
      <c r="AO103" s="207"/>
      <c r="AP103" s="118"/>
    </row>
    <row r="104" spans="1:42" s="38" customFormat="1" ht="15" hidden="1" customHeight="1" outlineLevel="1" x14ac:dyDescent="0.2">
      <c r="A104" s="214" t="str">
        <f t="shared" ca="1" si="32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204" t="str">
        <f t="shared" ca="1" si="33"/>
        <v/>
      </c>
      <c r="AG104" s="232"/>
      <c r="AH104" s="237">
        <f t="shared" si="34"/>
        <v>0</v>
      </c>
      <c r="AI104" s="259"/>
      <c r="AJ104" s="223"/>
      <c r="AK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L104" s="208"/>
      <c r="AM104" s="244">
        <f t="shared" ca="1" si="35"/>
        <v>0</v>
      </c>
      <c r="AN104" s="207"/>
      <c r="AO104" s="207"/>
      <c r="AP104" s="118"/>
    </row>
    <row r="105" spans="1:42" s="38" customFormat="1" ht="15" hidden="1" customHeight="1" outlineLevel="1" x14ac:dyDescent="0.2">
      <c r="A105" s="214" t="str">
        <f t="shared" ca="1" si="32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204" t="str">
        <f t="shared" ca="1" si="33"/>
        <v/>
      </c>
      <c r="AG105" s="217"/>
      <c r="AH105" s="237">
        <f t="shared" si="34"/>
        <v>0</v>
      </c>
      <c r="AI105" s="259"/>
      <c r="AJ105" s="223"/>
      <c r="AK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L105" s="208"/>
      <c r="AM105" s="244">
        <f t="shared" ca="1" si="35"/>
        <v>0</v>
      </c>
      <c r="AN105" s="207"/>
      <c r="AO105" s="207"/>
      <c r="AP105" s="118"/>
    </row>
    <row r="106" spans="1:42" s="38" customFormat="1" ht="15" hidden="1" customHeight="1" outlineLevel="1" x14ac:dyDescent="0.2">
      <c r="A106" s="214" t="str">
        <f t="shared" ca="1" si="32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204" t="str">
        <f t="shared" ca="1" si="33"/>
        <v/>
      </c>
      <c r="AG106" s="217"/>
      <c r="AH106" s="237">
        <f t="shared" si="34"/>
        <v>0</v>
      </c>
      <c r="AI106" s="259"/>
      <c r="AJ106" s="223"/>
      <c r="AK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L106" s="208"/>
      <c r="AM106" s="244">
        <f t="shared" ca="1" si="35"/>
        <v>0</v>
      </c>
      <c r="AN106" s="207"/>
      <c r="AO106" s="207"/>
      <c r="AP106" s="118"/>
    </row>
    <row r="107" spans="1:42" s="38" customFormat="1" ht="15" hidden="1" customHeight="1" outlineLevel="1" x14ac:dyDescent="0.2">
      <c r="A107" s="214" t="str">
        <f t="shared" ca="1" si="32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204" t="str">
        <f t="shared" ca="1" si="33"/>
        <v/>
      </c>
      <c r="AG107" s="232"/>
      <c r="AH107" s="237">
        <f t="shared" si="34"/>
        <v>0</v>
      </c>
      <c r="AI107" s="259"/>
      <c r="AJ107" s="223"/>
      <c r="AK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L107" s="208"/>
      <c r="AM107" s="244">
        <f t="shared" ca="1" si="35"/>
        <v>0</v>
      </c>
      <c r="AN107" s="285"/>
      <c r="AO107" s="285"/>
      <c r="AP107" s="118"/>
    </row>
    <row r="108" spans="1:42" s="49" customFormat="1" ht="15" hidden="1" customHeight="1" outlineLevel="1" x14ac:dyDescent="0.2">
      <c r="A108" s="214" t="str">
        <f t="shared" ca="1" si="32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204" t="str">
        <f t="shared" ca="1" si="33"/>
        <v/>
      </c>
      <c r="AG108" s="232"/>
      <c r="AH108" s="237">
        <f t="shared" si="34"/>
        <v>0</v>
      </c>
      <c r="AI108" s="259"/>
      <c r="AJ108" s="223"/>
      <c r="AK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L108" s="208"/>
      <c r="AM108" s="244">
        <f t="shared" ca="1" si="35"/>
        <v>0</v>
      </c>
      <c r="AN108" s="285"/>
      <c r="AO108" s="285"/>
      <c r="AP108" s="286"/>
    </row>
    <row r="109" spans="1:42" s="49" customFormat="1" ht="15" hidden="1" customHeight="1" outlineLevel="1" x14ac:dyDescent="0.2">
      <c r="A109" s="214" t="str">
        <f t="shared" ca="1" si="32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204" t="str">
        <f t="shared" ca="1" si="33"/>
        <v/>
      </c>
      <c r="AG109" s="217"/>
      <c r="AH109" s="237">
        <f t="shared" si="34"/>
        <v>0</v>
      </c>
      <c r="AI109" s="259"/>
      <c r="AJ109" s="223"/>
      <c r="AK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L109" s="208"/>
      <c r="AM109" s="244">
        <f t="shared" ca="1" si="35"/>
        <v>0</v>
      </c>
      <c r="AN109" s="285"/>
      <c r="AO109" s="285"/>
      <c r="AP109" s="286"/>
    </row>
    <row r="110" spans="1:42" ht="15" hidden="1" customHeight="1" outlineLevel="1" x14ac:dyDescent="0.2">
      <c r="A110" s="214" t="str">
        <f t="shared" ca="1" si="32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204" t="str">
        <f t="shared" ca="1" si="33"/>
        <v/>
      </c>
      <c r="AG110" s="217"/>
      <c r="AH110" s="237">
        <f t="shared" si="34"/>
        <v>0</v>
      </c>
      <c r="AI110" s="259"/>
      <c r="AJ110" s="223"/>
      <c r="AK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L110" s="208"/>
      <c r="AM110" s="244">
        <f t="shared" ca="1" si="35"/>
        <v>0</v>
      </c>
      <c r="AN110" s="285"/>
      <c r="AO110" s="285"/>
      <c r="AP110" s="122"/>
    </row>
    <row r="111" spans="1:42" ht="15" hidden="1" customHeight="1" outlineLevel="1" x14ac:dyDescent="0.2">
      <c r="A111" s="214" t="str">
        <f t="shared" ca="1" si="32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204" t="str">
        <f t="shared" ca="1" si="33"/>
        <v/>
      </c>
      <c r="AG111" s="217"/>
      <c r="AH111" s="237">
        <f t="shared" si="34"/>
        <v>0</v>
      </c>
      <c r="AI111" s="259"/>
      <c r="AJ111" s="223"/>
      <c r="AK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L111" s="208"/>
      <c r="AM111" s="244">
        <f t="shared" ca="1" si="35"/>
        <v>0</v>
      </c>
      <c r="AN111" s="285"/>
      <c r="AO111" s="285"/>
      <c r="AP111" s="122"/>
    </row>
    <row r="112" spans="1:42" ht="15" customHeight="1" collapsed="1" x14ac:dyDescent="0.2">
      <c r="A112" s="214" t="s">
        <v>188</v>
      </c>
      <c r="B112" s="235">
        <f>SUM(B97:B111)</f>
        <v>0</v>
      </c>
      <c r="C112" s="235">
        <f t="shared" ref="C112:AE112" si="36">SUM(C97:C111)</f>
        <v>0</v>
      </c>
      <c r="D112" s="235">
        <f t="shared" si="36"/>
        <v>0</v>
      </c>
      <c r="E112" s="235">
        <f t="shared" si="36"/>
        <v>0</v>
      </c>
      <c r="F112" s="235">
        <f t="shared" si="36"/>
        <v>0</v>
      </c>
      <c r="G112" s="235">
        <f t="shared" si="36"/>
        <v>0</v>
      </c>
      <c r="H112" s="235">
        <f t="shared" si="36"/>
        <v>0</v>
      </c>
      <c r="I112" s="235">
        <f t="shared" si="36"/>
        <v>0</v>
      </c>
      <c r="J112" s="235">
        <f t="shared" si="36"/>
        <v>0</v>
      </c>
      <c r="K112" s="235">
        <f t="shared" si="36"/>
        <v>0</v>
      </c>
      <c r="L112" s="235">
        <f t="shared" si="36"/>
        <v>0</v>
      </c>
      <c r="M112" s="235">
        <f t="shared" si="36"/>
        <v>0</v>
      </c>
      <c r="N112" s="235">
        <f t="shared" si="36"/>
        <v>0</v>
      </c>
      <c r="O112" s="235">
        <f t="shared" si="36"/>
        <v>0</v>
      </c>
      <c r="P112" s="235">
        <f t="shared" si="36"/>
        <v>0</v>
      </c>
      <c r="Q112" s="235">
        <f t="shared" si="36"/>
        <v>0</v>
      </c>
      <c r="R112" s="235">
        <f t="shared" si="36"/>
        <v>0</v>
      </c>
      <c r="S112" s="235">
        <f t="shared" si="36"/>
        <v>0</v>
      </c>
      <c r="T112" s="235">
        <f t="shared" si="36"/>
        <v>0</v>
      </c>
      <c r="U112" s="235">
        <f t="shared" si="36"/>
        <v>0</v>
      </c>
      <c r="V112" s="235">
        <f t="shared" si="36"/>
        <v>0</v>
      </c>
      <c r="W112" s="235">
        <f t="shared" si="36"/>
        <v>0</v>
      </c>
      <c r="X112" s="235">
        <f t="shared" si="36"/>
        <v>0</v>
      </c>
      <c r="Y112" s="235">
        <f t="shared" si="36"/>
        <v>0</v>
      </c>
      <c r="Z112" s="235">
        <f t="shared" si="36"/>
        <v>0</v>
      </c>
      <c r="AA112" s="235">
        <f t="shared" si="36"/>
        <v>0</v>
      </c>
      <c r="AB112" s="235">
        <f t="shared" si="36"/>
        <v>0</v>
      </c>
      <c r="AC112" s="235">
        <f t="shared" si="36"/>
        <v>0</v>
      </c>
      <c r="AD112" s="235">
        <f t="shared" si="36"/>
        <v>0</v>
      </c>
      <c r="AE112" s="235">
        <f t="shared" si="36"/>
        <v>0</v>
      </c>
      <c r="AF112" s="216" t="str">
        <f t="shared" si="33"/>
        <v>Arbeitszeit Total Projekte</v>
      </c>
      <c r="AG112" s="217"/>
      <c r="AH112" s="237">
        <f t="shared" si="34"/>
        <v>0</v>
      </c>
      <c r="AI112" s="259"/>
      <c r="AJ112" s="223"/>
      <c r="AK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L112" s="208"/>
      <c r="AM112" s="244">
        <f t="shared" ca="1" si="35"/>
        <v>0</v>
      </c>
      <c r="AN112" s="287"/>
      <c r="AO112" s="287"/>
      <c r="AP112" s="122"/>
    </row>
    <row r="113" spans="1:42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89"/>
      <c r="AG113" s="284"/>
      <c r="AH113" s="225"/>
      <c r="AI113" s="290"/>
      <c r="AJ113" s="225"/>
      <c r="AK113" s="225"/>
      <c r="AL113" s="225"/>
      <c r="AM113" s="129"/>
      <c r="AN113" s="225"/>
      <c r="AO113" s="225"/>
      <c r="AP113" s="118"/>
    </row>
    <row r="114" spans="1:42" s="38" customFormat="1" ht="15" hidden="1" customHeight="1" outlineLevel="1" x14ac:dyDescent="0.2">
      <c r="A114" s="214" t="s">
        <v>214</v>
      </c>
      <c r="B114" s="239">
        <f t="shared" ref="B114:AE114" si="37">ROUND(((B23+B45+B91)-SUMPRODUCT((B97:B111)*(EB.Projektart.Bereich=6)))*1440,0)/1440</f>
        <v>0</v>
      </c>
      <c r="C114" s="239">
        <f t="shared" si="37"/>
        <v>0</v>
      </c>
      <c r="D114" s="239">
        <f t="shared" si="37"/>
        <v>0</v>
      </c>
      <c r="E114" s="239">
        <f t="shared" si="37"/>
        <v>0</v>
      </c>
      <c r="F114" s="239">
        <f t="shared" si="37"/>
        <v>0</v>
      </c>
      <c r="G114" s="239">
        <f t="shared" si="37"/>
        <v>0</v>
      </c>
      <c r="H114" s="239">
        <f t="shared" si="37"/>
        <v>0</v>
      </c>
      <c r="I114" s="239">
        <f t="shared" si="37"/>
        <v>0</v>
      </c>
      <c r="J114" s="239">
        <f t="shared" si="37"/>
        <v>0</v>
      </c>
      <c r="K114" s="239">
        <f t="shared" si="37"/>
        <v>0</v>
      </c>
      <c r="L114" s="239">
        <f t="shared" si="37"/>
        <v>0</v>
      </c>
      <c r="M114" s="239">
        <f t="shared" si="37"/>
        <v>0</v>
      </c>
      <c r="N114" s="239">
        <f t="shared" si="37"/>
        <v>0</v>
      </c>
      <c r="O114" s="239">
        <f t="shared" si="37"/>
        <v>0</v>
      </c>
      <c r="P114" s="239">
        <f t="shared" si="37"/>
        <v>0</v>
      </c>
      <c r="Q114" s="239">
        <f t="shared" si="37"/>
        <v>0</v>
      </c>
      <c r="R114" s="239">
        <f t="shared" si="37"/>
        <v>0</v>
      </c>
      <c r="S114" s="239">
        <f t="shared" si="37"/>
        <v>0</v>
      </c>
      <c r="T114" s="239">
        <f t="shared" si="37"/>
        <v>0</v>
      </c>
      <c r="U114" s="239">
        <f t="shared" si="37"/>
        <v>0</v>
      </c>
      <c r="V114" s="239">
        <f t="shared" si="37"/>
        <v>0</v>
      </c>
      <c r="W114" s="239">
        <f t="shared" si="37"/>
        <v>0</v>
      </c>
      <c r="X114" s="239">
        <f t="shared" si="37"/>
        <v>0</v>
      </c>
      <c r="Y114" s="239">
        <f t="shared" si="37"/>
        <v>0</v>
      </c>
      <c r="Z114" s="239">
        <f t="shared" si="37"/>
        <v>0</v>
      </c>
      <c r="AA114" s="239">
        <f t="shared" si="37"/>
        <v>0</v>
      </c>
      <c r="AB114" s="239">
        <f t="shared" si="37"/>
        <v>0</v>
      </c>
      <c r="AC114" s="239">
        <f t="shared" si="37"/>
        <v>0</v>
      </c>
      <c r="AD114" s="239">
        <f t="shared" si="37"/>
        <v>0</v>
      </c>
      <c r="AE114" s="239">
        <f t="shared" si="37"/>
        <v>0</v>
      </c>
      <c r="AF114" s="216" t="str">
        <f t="shared" ref="AF114" si="38">A114</f>
        <v>Differenz AZ - Projektart 6</v>
      </c>
      <c r="AG114" s="227"/>
      <c r="AH114" s="237">
        <f>SUM(B114:AE114)</f>
        <v>0</v>
      </c>
      <c r="AI114" s="259"/>
      <c r="AJ114" s="260"/>
      <c r="AK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L114" s="260"/>
      <c r="AM114" s="244">
        <f ca="1">AH114+AK114</f>
        <v>0</v>
      </c>
      <c r="AN114" s="260"/>
      <c r="AO114" s="260"/>
      <c r="AP114" s="118"/>
    </row>
    <row r="115" spans="1:42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3"/>
      <c r="AG115" s="294"/>
      <c r="AH115" s="122"/>
      <c r="AI115" s="122"/>
      <c r="AJ115" s="122"/>
      <c r="AK115" s="122"/>
      <c r="AL115" s="122"/>
      <c r="AM115" s="295"/>
      <c r="AN115" s="122"/>
      <c r="AO115" s="122"/>
      <c r="AP115" s="122"/>
    </row>
    <row r="116" spans="1:42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3"/>
      <c r="AG116" s="294"/>
      <c r="AH116" s="122"/>
      <c r="AI116" s="122"/>
      <c r="AJ116" s="122"/>
      <c r="AK116" s="122"/>
      <c r="AL116" s="122"/>
      <c r="AM116" s="295"/>
      <c r="AN116" s="122"/>
      <c r="AO116" s="122"/>
      <c r="AP116" s="122"/>
    </row>
    <row r="117" spans="1:42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7"/>
      <c r="AG117" s="298"/>
      <c r="AH117" s="296"/>
      <c r="AI117" s="296"/>
      <c r="AJ117" s="296"/>
      <c r="AK117" s="296"/>
      <c r="AL117" s="296"/>
      <c r="AM117" s="299"/>
      <c r="AN117" s="286"/>
      <c r="AO117" s="286"/>
      <c r="AP117" s="122"/>
    </row>
    <row r="118" spans="1:42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122"/>
    </row>
    <row r="119" spans="1:42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3" t="str">
        <f ca="1">IF(AF67&lt;&gt;Monat.KomAZText,AF67 &amp; CHAR(10),"") &amp;
IF(AF84&lt;&gt;Monat.FerienText,AF84,"")</f>
        <v/>
      </c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122"/>
    </row>
    <row r="120" spans="1:42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122"/>
    </row>
    <row r="121" spans="1:42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3"/>
      <c r="AG121" s="294"/>
      <c r="AH121" s="122"/>
      <c r="AI121" s="122"/>
      <c r="AJ121" s="122"/>
      <c r="AK121" s="122"/>
      <c r="AL121" s="122"/>
      <c r="AM121" s="295"/>
      <c r="AN121" s="122"/>
      <c r="AO121" s="122"/>
      <c r="AP121" s="122"/>
    </row>
    <row r="122" spans="1:42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3"/>
      <c r="AG122" s="294"/>
      <c r="AH122" s="122"/>
      <c r="AI122" s="122"/>
      <c r="AJ122" s="122"/>
      <c r="AK122" s="122"/>
      <c r="AL122" s="122"/>
      <c r="AM122" s="295"/>
      <c r="AN122" s="122"/>
      <c r="AO122" s="122"/>
      <c r="AP122" s="122"/>
    </row>
    <row r="123" spans="1:42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3"/>
      <c r="AG123" s="294"/>
      <c r="AH123" s="122"/>
      <c r="AI123" s="122"/>
      <c r="AJ123" s="122"/>
      <c r="AK123" s="122"/>
      <c r="AL123" s="122"/>
      <c r="AM123" s="295"/>
      <c r="AN123" s="122"/>
      <c r="AO123" s="122"/>
      <c r="AP123" s="122"/>
    </row>
    <row r="124" spans="1:42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122"/>
    </row>
    <row r="125" spans="1:42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</row>
    <row r="126" spans="1:42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</row>
    <row r="127" spans="1:42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</row>
    <row r="128" spans="1:42" x14ac:dyDescent="0.2">
      <c r="AF128" s="50"/>
      <c r="AG128" s="50"/>
      <c r="AM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N1:AO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G10:AH10"/>
    <mergeCell ref="AN10:AO10"/>
    <mergeCell ref="B117:Q117"/>
    <mergeCell ref="B119:Q119"/>
    <mergeCell ref="Y119:AE120"/>
    <mergeCell ref="AF119:AO120"/>
    <mergeCell ref="B120:Q120"/>
    <mergeCell ref="T120:X120"/>
  </mergeCells>
  <conditionalFormatting sqref="AH114 B114:AE114">
    <cfRule type="expression" dxfId="255" priority="16">
      <formula>ABS(B$114)&gt;=ROUND(1/24/60,9)</formula>
    </cfRule>
  </conditionalFormatting>
  <conditionalFormatting sqref="B13:AE22 B34:AE44 B25:AE30 B60:AE61 B67:AE67 B71:AE72 B84:AE84 B86:AE95 B97:AE111">
    <cfRule type="expression" dxfId="254" priority="14">
      <formula>WEEKDAY(B$10,2)&gt;5</formula>
    </cfRule>
    <cfRule type="expression" dxfId="253" priority="15">
      <formula>AND(NOT(ISERROR(MATCH(B$10,T.Feiertage.Bereich,0))),OFFSET(T.Feiertage.Bereich,MATCH(B$10,T.Feiertage.Bereich,0)-1,1,1,1)&gt;0)</formula>
    </cfRule>
    <cfRule type="expression" dxfId="252" priority="17">
      <formula>B$11=0</formula>
    </cfRule>
  </conditionalFormatting>
  <conditionalFormatting sqref="AM60:AN60">
    <cfRule type="expression" dxfId="251" priority="22">
      <formula>AND(T.50_Vetsuisse,AM60&gt;=T.GrenzeAngÜZ50_Vetsuisse)</formula>
    </cfRule>
    <cfRule type="expression" dxfId="250" priority="23">
      <formula>AND(T.50_Vetsuisse,AM60&gt;T.GrenzeAngÜZ50_Vetsuisse*T.AngÜZ50_Vetsuisse_orange)</formula>
    </cfRule>
  </conditionalFormatting>
  <conditionalFormatting sqref="B56:AE56">
    <cfRule type="expression" dxfId="249" priority="8">
      <formula>AND(B$10&gt;TODAY(),EB.UJAustritt="")</formula>
    </cfRule>
    <cfRule type="expression" dxfId="248" priority="9">
      <formula>B$56&gt;99.99/24</formula>
    </cfRule>
    <cfRule type="expression" dxfId="247" priority="11">
      <formula>B$56&lt;99.99/24*-1</formula>
    </cfRule>
  </conditionalFormatting>
  <conditionalFormatting sqref="AN55:AO55">
    <cfRule type="cellIs" dxfId="246" priority="24" operator="greaterThan">
      <formula>1/24/60</formula>
    </cfRule>
    <cfRule type="expression" dxfId="245" priority="25">
      <formula>AND(AN55&lt;=1/24/60*-1,TODAY()&gt;=DATE(EB.Jahr,MONTH(12),DAY(31)))</formula>
    </cfRule>
  </conditionalFormatting>
  <conditionalFormatting sqref="AH58 B56:AE56">
    <cfRule type="expression" dxfId="244" priority="10">
      <formula>B$56&gt;1/24/60</formula>
    </cfRule>
    <cfRule type="expression" dxfId="243" priority="12">
      <formula>AND(B$56&lt;=1/24/60*-1,B$56)</formula>
    </cfRule>
  </conditionalFormatting>
  <conditionalFormatting sqref="B14:AE22 B36:AE44 B26:AE30">
    <cfRule type="expression" dxfId="242" priority="6">
      <formula>AND(B14&lt;B13,B14&lt;&gt;"")</formula>
    </cfRule>
  </conditionalFormatting>
  <conditionalFormatting sqref="B72:AE73">
    <cfRule type="expression" dxfId="241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240" priority="18">
      <formula>$P$4&lt;&gt;""</formula>
    </cfRule>
  </conditionalFormatting>
  <conditionalFormatting sqref="V4">
    <cfRule type="expression" dxfId="239" priority="19">
      <formula>$V$4&lt;&gt;""</formula>
    </cfRule>
  </conditionalFormatting>
  <conditionalFormatting sqref="AO60">
    <cfRule type="expression" dxfId="238" priority="26">
      <formula>AND(T.50_Vetsuisse,AO60&gt;=T.GrenzeAngÜZ50_Vetsuisse)</formula>
    </cfRule>
    <cfRule type="expression" dxfId="237" priority="27">
      <formula>AND(T.50_Vetsuisse,AO60&gt;T.GrenzeAngÜZ50_Vetsuisse*T.AngÜZ50_Vetsuisse_orange)</formula>
    </cfRule>
  </conditionalFormatting>
  <conditionalFormatting sqref="AI72:AI73">
    <cfRule type="expression" dxfId="236" priority="20">
      <formula>AND(T.50_Vetsuisse,$AI$72&lt;&gt;$AI$73)</formula>
    </cfRule>
    <cfRule type="expression" dxfId="235" priority="21">
      <formula>$AI$72&gt;$AI$73</formula>
    </cfRule>
  </conditionalFormatting>
  <conditionalFormatting sqref="B55:AE55">
    <cfRule type="expression" dxfId="234" priority="7">
      <formula>AND(B$10&lt;=TODAY(),B$55&lt;1/24/60*-1)</formula>
    </cfRule>
  </conditionalFormatting>
  <conditionalFormatting sqref="AF67 AF84">
    <cfRule type="expression" dxfId="233" priority="5">
      <formula>AF67&lt;&gt;A67</formula>
    </cfRule>
  </conditionalFormatting>
  <conditionalFormatting sqref="B67:AE67">
    <cfRule type="expression" dxfId="232" priority="4">
      <formula>AND(B66=0,B67&gt;0)</formula>
    </cfRule>
  </conditionalFormatting>
  <conditionalFormatting sqref="B34:AE34">
    <cfRule type="expression" dxfId="231" priority="3">
      <formula>T.MedizinischeMikrobiologie</formula>
    </cfRule>
  </conditionalFormatting>
  <conditionalFormatting sqref="AJ51">
    <cfRule type="expression" dxfId="230" priority="2">
      <formula>ISNUMBER(AJ51)</formula>
    </cfRule>
  </conditionalFormatting>
  <conditionalFormatting sqref="AM51">
    <cfRule type="expression" dxfId="229" priority="1">
      <formula>ISNUMBER(AM51)</formula>
    </cfRule>
  </conditionalFormatting>
  <dataValidations count="2">
    <dataValidation type="list" allowBlank="1" showInputMessage="1" showErrorMessage="1" errorTitle="Start Gepl. Nachtdienst" error="Bitte wählen Sie einen Wert aus der Liste." sqref="B72:AE72" xr:uid="{AEFB8205-44BC-4BEB-9AD3-6AEC436A9B61}">
      <formula1>T.JaNein.Bereich</formula1>
    </dataValidation>
    <dataValidation type="list" allowBlank="1" showInputMessage="1" showErrorMessage="1" errorTitle="Pikett Bereitschaft" error="Bitte wählen Sie einen Wert aus der Liste." sqref="B34:AE34" xr:uid="{379E1855-CD92-45DD-A5A4-5D462AF2DDA9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6B89-C44A-422A-9785-8748102456C9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Mai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Mai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So</v>
      </c>
      <c r="C9" s="194" t="str">
        <f t="shared" si="0"/>
        <v>Mo</v>
      </c>
      <c r="D9" s="194" t="str">
        <f t="shared" si="0"/>
        <v>Di</v>
      </c>
      <c r="E9" s="194" t="str">
        <f t="shared" si="0"/>
        <v>Mi</v>
      </c>
      <c r="F9" s="194" t="str">
        <f t="shared" si="0"/>
        <v>Do</v>
      </c>
      <c r="G9" s="194" t="str">
        <f t="shared" si="0"/>
        <v>Fr</v>
      </c>
      <c r="H9" s="194" t="str">
        <f t="shared" si="0"/>
        <v>Sa</v>
      </c>
      <c r="I9" s="194" t="str">
        <f t="shared" si="0"/>
        <v>So</v>
      </c>
      <c r="J9" s="194" t="str">
        <f t="shared" si="0"/>
        <v>Mo</v>
      </c>
      <c r="K9" s="194" t="str">
        <f t="shared" si="0"/>
        <v>Di</v>
      </c>
      <c r="L9" s="194" t="str">
        <f t="shared" si="0"/>
        <v>Mi</v>
      </c>
      <c r="M9" s="194" t="str">
        <f t="shared" si="0"/>
        <v>Do</v>
      </c>
      <c r="N9" s="194" t="str">
        <f t="shared" si="0"/>
        <v>Fr</v>
      </c>
      <c r="O9" s="194" t="str">
        <f t="shared" si="0"/>
        <v>Sa</v>
      </c>
      <c r="P9" s="194" t="str">
        <f t="shared" si="0"/>
        <v>So</v>
      </c>
      <c r="Q9" s="194" t="str">
        <f t="shared" si="0"/>
        <v>Mo</v>
      </c>
      <c r="R9" s="194" t="str">
        <f t="shared" si="0"/>
        <v>Di</v>
      </c>
      <c r="S9" s="194" t="str">
        <f t="shared" si="0"/>
        <v>Mi</v>
      </c>
      <c r="T9" s="194" t="str">
        <f t="shared" si="0"/>
        <v>Do</v>
      </c>
      <c r="U9" s="194" t="str">
        <f t="shared" si="0"/>
        <v>Fr</v>
      </c>
      <c r="V9" s="194" t="str">
        <f t="shared" si="0"/>
        <v>Sa</v>
      </c>
      <c r="W9" s="194" t="str">
        <f t="shared" si="0"/>
        <v>So</v>
      </c>
      <c r="X9" s="194" t="str">
        <f t="shared" si="0"/>
        <v>Mo</v>
      </c>
      <c r="Y9" s="194" t="str">
        <f t="shared" si="0"/>
        <v>Di</v>
      </c>
      <c r="Z9" s="194" t="str">
        <f t="shared" si="0"/>
        <v>Mi</v>
      </c>
      <c r="AA9" s="194" t="str">
        <f t="shared" si="0"/>
        <v>Do</v>
      </c>
      <c r="AB9" s="194" t="str">
        <f t="shared" si="0"/>
        <v>Fr</v>
      </c>
      <c r="AC9" s="194" t="str">
        <f t="shared" si="0"/>
        <v>Sa</v>
      </c>
      <c r="AD9" s="194" t="str">
        <f t="shared" si="0"/>
        <v>So</v>
      </c>
      <c r="AE9" s="194" t="str">
        <f t="shared" si="0"/>
        <v>Mo</v>
      </c>
      <c r="AF9" s="194" t="str">
        <f t="shared" si="0"/>
        <v>Di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43220</v>
      </c>
      <c r="C10" s="196">
        <f>B10+1</f>
        <v>43221</v>
      </c>
      <c r="D10" s="196">
        <f t="shared" ref="D10:AF10" si="1">C10+1</f>
        <v>43222</v>
      </c>
      <c r="E10" s="196">
        <f t="shared" si="1"/>
        <v>43223</v>
      </c>
      <c r="F10" s="196">
        <f t="shared" si="1"/>
        <v>43224</v>
      </c>
      <c r="G10" s="196">
        <f t="shared" si="1"/>
        <v>43225</v>
      </c>
      <c r="H10" s="196">
        <f t="shared" si="1"/>
        <v>43226</v>
      </c>
      <c r="I10" s="196">
        <f t="shared" si="1"/>
        <v>43227</v>
      </c>
      <c r="J10" s="196">
        <f t="shared" si="1"/>
        <v>43228</v>
      </c>
      <c r="K10" s="196">
        <f t="shared" si="1"/>
        <v>43229</v>
      </c>
      <c r="L10" s="196">
        <f t="shared" si="1"/>
        <v>43230</v>
      </c>
      <c r="M10" s="196">
        <f t="shared" si="1"/>
        <v>43231</v>
      </c>
      <c r="N10" s="196">
        <f t="shared" si="1"/>
        <v>43232</v>
      </c>
      <c r="O10" s="196">
        <f t="shared" si="1"/>
        <v>43233</v>
      </c>
      <c r="P10" s="196">
        <f t="shared" si="1"/>
        <v>43234</v>
      </c>
      <c r="Q10" s="196">
        <f t="shared" si="1"/>
        <v>43235</v>
      </c>
      <c r="R10" s="196">
        <f t="shared" si="1"/>
        <v>43236</v>
      </c>
      <c r="S10" s="196">
        <f t="shared" si="1"/>
        <v>43237</v>
      </c>
      <c r="T10" s="196">
        <f t="shared" si="1"/>
        <v>43238</v>
      </c>
      <c r="U10" s="196">
        <f t="shared" si="1"/>
        <v>43239</v>
      </c>
      <c r="V10" s="196">
        <f t="shared" si="1"/>
        <v>43240</v>
      </c>
      <c r="W10" s="196">
        <f t="shared" si="1"/>
        <v>43241</v>
      </c>
      <c r="X10" s="196">
        <f t="shared" si="1"/>
        <v>43242</v>
      </c>
      <c r="Y10" s="196">
        <f t="shared" si="1"/>
        <v>43243</v>
      </c>
      <c r="Z10" s="196">
        <f t="shared" si="1"/>
        <v>43244</v>
      </c>
      <c r="AA10" s="196">
        <f t="shared" si="1"/>
        <v>43245</v>
      </c>
      <c r="AB10" s="196">
        <f t="shared" si="1"/>
        <v>43246</v>
      </c>
      <c r="AC10" s="196">
        <f t="shared" si="1"/>
        <v>43247</v>
      </c>
      <c r="AD10" s="196">
        <f t="shared" si="1"/>
        <v>43248</v>
      </c>
      <c r="AE10" s="196">
        <f t="shared" si="1"/>
        <v>43249</v>
      </c>
      <c r="AF10" s="196">
        <f t="shared" si="1"/>
        <v>43250</v>
      </c>
      <c r="AG10" s="197" t="str">
        <f t="shared" ref="AG10:AG56" si="2">A10</f>
        <v>Tag</v>
      </c>
      <c r="AH10" s="485" t="str">
        <f>"Total " &amp; INDEX(EB.Monate.Bereich,MONTH(Monat.Tag1))</f>
        <v>Total Mai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0</v>
      </c>
      <c r="C11" s="201">
        <f t="shared" ca="1" si="3"/>
        <v>1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1</v>
      </c>
      <c r="Z11" s="203">
        <f t="shared" ca="1" si="3"/>
        <v>0.7142857142857143</v>
      </c>
      <c r="AA11" s="201">
        <f t="shared" ca="1" si="3"/>
        <v>0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1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</v>
      </c>
      <c r="C52" s="78">
        <f t="shared" ca="1" si="14"/>
        <v>0.35</v>
      </c>
      <c r="D52" s="79">
        <f t="shared" ca="1" si="14"/>
        <v>0.35</v>
      </c>
      <c r="E52" s="78">
        <f t="shared" ca="1" si="14"/>
        <v>0.35</v>
      </c>
      <c r="F52" s="79">
        <f t="shared" ca="1" si="14"/>
        <v>0.35</v>
      </c>
      <c r="G52" s="79">
        <f t="shared" ca="1" si="14"/>
        <v>0.35</v>
      </c>
      <c r="H52" s="79">
        <f t="shared" ca="1" si="14"/>
        <v>0</v>
      </c>
      <c r="I52" s="79">
        <f t="shared" ca="1" si="14"/>
        <v>0</v>
      </c>
      <c r="J52" s="78">
        <f t="shared" ca="1" si="14"/>
        <v>0.35</v>
      </c>
      <c r="K52" s="79">
        <f t="shared" ca="1" si="14"/>
        <v>0.35</v>
      </c>
      <c r="L52" s="78">
        <f t="shared" ca="1" si="14"/>
        <v>0.35</v>
      </c>
      <c r="M52" s="79">
        <f t="shared" ca="1" si="14"/>
        <v>0.35</v>
      </c>
      <c r="N52" s="79">
        <f t="shared" ca="1" si="14"/>
        <v>0.35</v>
      </c>
      <c r="O52" s="79">
        <f t="shared" ca="1" si="14"/>
        <v>0</v>
      </c>
      <c r="P52" s="79">
        <f t="shared" ca="1" si="14"/>
        <v>0</v>
      </c>
      <c r="Q52" s="78">
        <f t="shared" ca="1" si="14"/>
        <v>0.35</v>
      </c>
      <c r="R52" s="79">
        <f t="shared" ca="1" si="14"/>
        <v>0.35</v>
      </c>
      <c r="S52" s="78">
        <f t="shared" ca="1" si="14"/>
        <v>0.35</v>
      </c>
      <c r="T52" s="78">
        <f t="shared" ca="1" si="14"/>
        <v>0.35</v>
      </c>
      <c r="U52" s="79">
        <f t="shared" ca="1" si="14"/>
        <v>0.35</v>
      </c>
      <c r="V52" s="79">
        <f t="shared" ca="1" si="14"/>
        <v>0</v>
      </c>
      <c r="W52" s="79">
        <f t="shared" ca="1" si="14"/>
        <v>0</v>
      </c>
      <c r="X52" s="78">
        <f t="shared" ca="1" si="14"/>
        <v>0.35</v>
      </c>
      <c r="Y52" s="79">
        <f t="shared" ca="1" si="14"/>
        <v>0.35</v>
      </c>
      <c r="Z52" s="80">
        <f t="shared" ca="1" si="14"/>
        <v>0.25</v>
      </c>
      <c r="AA52" s="79">
        <f t="shared" ca="1" si="14"/>
        <v>0</v>
      </c>
      <c r="AB52" s="79">
        <f t="shared" ca="1" si="14"/>
        <v>0.35</v>
      </c>
      <c r="AC52" s="79">
        <f t="shared" ca="1" si="14"/>
        <v>0</v>
      </c>
      <c r="AD52" s="79">
        <f t="shared" ca="1" si="14"/>
        <v>0</v>
      </c>
      <c r="AE52" s="78">
        <f t="shared" ca="1" si="14"/>
        <v>0.35</v>
      </c>
      <c r="AF52" s="79">
        <f t="shared" ca="1" si="14"/>
        <v>0.35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</v>
      </c>
      <c r="C53" s="239">
        <f t="shared" ca="1" si="15"/>
        <v>0.35</v>
      </c>
      <c r="D53" s="239">
        <f t="shared" ca="1" si="15"/>
        <v>0.35</v>
      </c>
      <c r="E53" s="239">
        <f t="shared" ca="1" si="15"/>
        <v>0.35</v>
      </c>
      <c r="F53" s="239">
        <f t="shared" ca="1" si="15"/>
        <v>0.35</v>
      </c>
      <c r="G53" s="239">
        <f t="shared" ca="1" si="15"/>
        <v>0.35</v>
      </c>
      <c r="H53" s="239">
        <f t="shared" ca="1" si="15"/>
        <v>0</v>
      </c>
      <c r="I53" s="239">
        <f t="shared" ca="1" si="15"/>
        <v>0</v>
      </c>
      <c r="J53" s="239">
        <f t="shared" ca="1" si="15"/>
        <v>0.35</v>
      </c>
      <c r="K53" s="239">
        <f t="shared" ca="1" si="15"/>
        <v>0.35</v>
      </c>
      <c r="L53" s="239">
        <f t="shared" ca="1" si="15"/>
        <v>0.35</v>
      </c>
      <c r="M53" s="239">
        <f t="shared" ca="1" si="15"/>
        <v>0.35</v>
      </c>
      <c r="N53" s="239">
        <f t="shared" ca="1" si="15"/>
        <v>0.35</v>
      </c>
      <c r="O53" s="239">
        <f t="shared" ca="1" si="15"/>
        <v>0</v>
      </c>
      <c r="P53" s="239">
        <f t="shared" ca="1" si="15"/>
        <v>0</v>
      </c>
      <c r="Q53" s="239">
        <f t="shared" ca="1" si="15"/>
        <v>0.35</v>
      </c>
      <c r="R53" s="239">
        <f t="shared" ca="1" si="15"/>
        <v>0.35</v>
      </c>
      <c r="S53" s="239">
        <f t="shared" ca="1" si="15"/>
        <v>0.35</v>
      </c>
      <c r="T53" s="239">
        <f t="shared" ca="1" si="15"/>
        <v>0.35</v>
      </c>
      <c r="U53" s="239">
        <f t="shared" ca="1" si="15"/>
        <v>0.35</v>
      </c>
      <c r="V53" s="239">
        <f t="shared" ca="1" si="15"/>
        <v>0</v>
      </c>
      <c r="W53" s="239">
        <f t="shared" ca="1" si="15"/>
        <v>0</v>
      </c>
      <c r="X53" s="239">
        <f t="shared" ca="1" si="15"/>
        <v>0.35</v>
      </c>
      <c r="Y53" s="239">
        <f t="shared" ca="1" si="15"/>
        <v>0.35</v>
      </c>
      <c r="Z53" s="239">
        <f t="shared" ca="1" si="15"/>
        <v>0.25</v>
      </c>
      <c r="AA53" s="239">
        <f t="shared" ca="1" si="15"/>
        <v>0</v>
      </c>
      <c r="AB53" s="239">
        <f t="shared" ca="1" si="15"/>
        <v>0.35</v>
      </c>
      <c r="AC53" s="239">
        <f t="shared" ca="1" si="15"/>
        <v>0</v>
      </c>
      <c r="AD53" s="239">
        <f t="shared" ca="1" si="15"/>
        <v>0</v>
      </c>
      <c r="AE53" s="239">
        <f t="shared" ca="1" si="15"/>
        <v>0.35</v>
      </c>
      <c r="AF53" s="239">
        <f t="shared" ca="1" si="15"/>
        <v>0.35</v>
      </c>
      <c r="AG53" s="204" t="str">
        <f t="shared" si="2"/>
        <v>Arbeitszeit SOLL gem. BG</v>
      </c>
      <c r="AH53" s="217"/>
      <c r="AI53" s="237">
        <f ca="1">SUM(B53:AF53)</f>
        <v>7.2499999999999973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</v>
      </c>
      <c r="C54" s="239">
        <f t="shared" ca="1" si="16"/>
        <v>0.35</v>
      </c>
      <c r="D54" s="240">
        <f t="shared" ca="1" si="16"/>
        <v>0.35</v>
      </c>
      <c r="E54" s="239">
        <f t="shared" ca="1" si="16"/>
        <v>0.35</v>
      </c>
      <c r="F54" s="240">
        <f t="shared" ca="1" si="16"/>
        <v>0.35</v>
      </c>
      <c r="G54" s="240">
        <f t="shared" ca="1" si="16"/>
        <v>0.35</v>
      </c>
      <c r="H54" s="240">
        <f t="shared" ca="1" si="16"/>
        <v>0</v>
      </c>
      <c r="I54" s="240">
        <f t="shared" ca="1" si="16"/>
        <v>0</v>
      </c>
      <c r="J54" s="239">
        <f t="shared" ca="1" si="16"/>
        <v>0.35</v>
      </c>
      <c r="K54" s="240">
        <f t="shared" ca="1" si="16"/>
        <v>0.35</v>
      </c>
      <c r="L54" s="239">
        <f t="shared" ca="1" si="16"/>
        <v>0.35</v>
      </c>
      <c r="M54" s="240">
        <f t="shared" ca="1" si="16"/>
        <v>0.35</v>
      </c>
      <c r="N54" s="240">
        <f t="shared" ca="1" si="16"/>
        <v>0.35</v>
      </c>
      <c r="O54" s="240">
        <f t="shared" ca="1" si="16"/>
        <v>0</v>
      </c>
      <c r="P54" s="240">
        <f t="shared" ca="1" si="16"/>
        <v>0</v>
      </c>
      <c r="Q54" s="239">
        <f t="shared" ca="1" si="16"/>
        <v>0.35</v>
      </c>
      <c r="R54" s="240">
        <f t="shared" ca="1" si="16"/>
        <v>0.35</v>
      </c>
      <c r="S54" s="239">
        <f t="shared" ca="1" si="16"/>
        <v>0.35</v>
      </c>
      <c r="T54" s="239">
        <f t="shared" ca="1" si="16"/>
        <v>0.35</v>
      </c>
      <c r="U54" s="240">
        <f t="shared" ca="1" si="16"/>
        <v>0.35</v>
      </c>
      <c r="V54" s="240">
        <f t="shared" ca="1" si="16"/>
        <v>0</v>
      </c>
      <c r="W54" s="240">
        <f t="shared" ca="1" si="16"/>
        <v>0</v>
      </c>
      <c r="X54" s="239">
        <f t="shared" ca="1" si="16"/>
        <v>0.35</v>
      </c>
      <c r="Y54" s="240">
        <f t="shared" ca="1" si="16"/>
        <v>0.35</v>
      </c>
      <c r="Z54" s="241">
        <f t="shared" ca="1" si="16"/>
        <v>0.25</v>
      </c>
      <c r="AA54" s="240">
        <f t="shared" ca="1" si="16"/>
        <v>0</v>
      </c>
      <c r="AB54" s="240">
        <f t="shared" ca="1" si="16"/>
        <v>0.35</v>
      </c>
      <c r="AC54" s="240">
        <f t="shared" ca="1" si="16"/>
        <v>0</v>
      </c>
      <c r="AD54" s="240">
        <f t="shared" ca="1" si="16"/>
        <v>0</v>
      </c>
      <c r="AE54" s="239">
        <f t="shared" ca="1" si="16"/>
        <v>0.35</v>
      </c>
      <c r="AF54" s="240">
        <f t="shared" ca="1" si="16"/>
        <v>0.35</v>
      </c>
      <c r="AG54" s="204" t="str">
        <f t="shared" si="2"/>
        <v>Arbeitszeit SOLL 100%</v>
      </c>
      <c r="AH54" s="217"/>
      <c r="AI54" s="237">
        <f ca="1">SUM(B54:AF54)</f>
        <v>7.2499999999999973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0</v>
      </c>
      <c r="C55" s="233">
        <f t="shared" ref="C55:AF55" ca="1" si="17">ROUND((C51-C53)*1440,0)/1440</f>
        <v>-0.35</v>
      </c>
      <c r="D55" s="233">
        <f t="shared" ca="1" si="17"/>
        <v>-0.35</v>
      </c>
      <c r="E55" s="235">
        <f t="shared" ca="1" si="17"/>
        <v>-0.35</v>
      </c>
      <c r="F55" s="233">
        <f t="shared" ca="1" si="17"/>
        <v>-0.35</v>
      </c>
      <c r="G55" s="233">
        <f t="shared" ca="1" si="17"/>
        <v>-0.35</v>
      </c>
      <c r="H55" s="233">
        <f t="shared" ca="1" si="17"/>
        <v>0</v>
      </c>
      <c r="I55" s="233">
        <f t="shared" ca="1" si="17"/>
        <v>0</v>
      </c>
      <c r="J55" s="235">
        <f t="shared" ca="1" si="17"/>
        <v>-0.35</v>
      </c>
      <c r="K55" s="233">
        <f t="shared" ca="1" si="17"/>
        <v>-0.35</v>
      </c>
      <c r="L55" s="235">
        <f t="shared" ca="1" si="17"/>
        <v>-0.35</v>
      </c>
      <c r="M55" s="233">
        <f t="shared" ca="1" si="17"/>
        <v>-0.35</v>
      </c>
      <c r="N55" s="233">
        <f t="shared" ca="1" si="17"/>
        <v>-0.35</v>
      </c>
      <c r="O55" s="233">
        <f t="shared" ca="1" si="17"/>
        <v>0</v>
      </c>
      <c r="P55" s="233">
        <f t="shared" ca="1" si="17"/>
        <v>0</v>
      </c>
      <c r="Q55" s="235">
        <f t="shared" ca="1" si="17"/>
        <v>-0.35</v>
      </c>
      <c r="R55" s="233">
        <f t="shared" ca="1" si="17"/>
        <v>-0.35</v>
      </c>
      <c r="S55" s="235">
        <f t="shared" ca="1" si="17"/>
        <v>-0.35</v>
      </c>
      <c r="T55" s="235">
        <f t="shared" ca="1" si="17"/>
        <v>-0.35</v>
      </c>
      <c r="U55" s="233">
        <f t="shared" ca="1" si="17"/>
        <v>-0.35</v>
      </c>
      <c r="V55" s="233">
        <f t="shared" ca="1" si="17"/>
        <v>0</v>
      </c>
      <c r="W55" s="233">
        <f t="shared" ca="1" si="17"/>
        <v>0</v>
      </c>
      <c r="X55" s="235">
        <f t="shared" ca="1" si="17"/>
        <v>-0.35</v>
      </c>
      <c r="Y55" s="233">
        <f t="shared" ca="1" si="17"/>
        <v>-0.35</v>
      </c>
      <c r="Z55" s="236">
        <f t="shared" ca="1" si="17"/>
        <v>-0.25</v>
      </c>
      <c r="AA55" s="233">
        <f t="shared" ca="1" si="17"/>
        <v>0</v>
      </c>
      <c r="AB55" s="233">
        <f t="shared" ca="1" si="17"/>
        <v>-0.35</v>
      </c>
      <c r="AC55" s="233">
        <f t="shared" ca="1" si="17"/>
        <v>0</v>
      </c>
      <c r="AD55" s="233">
        <f t="shared" ca="1" si="17"/>
        <v>0</v>
      </c>
      <c r="AE55" s="235">
        <f t="shared" ca="1" si="17"/>
        <v>-0.35</v>
      </c>
      <c r="AF55" s="233">
        <f t="shared" ca="1" si="17"/>
        <v>-0.35</v>
      </c>
      <c r="AG55" s="204" t="str">
        <f t="shared" si="2"/>
        <v>+/- SOLL/IST täglich</v>
      </c>
      <c r="AH55" s="217"/>
      <c r="AI55" s="237">
        <f ca="1">SUM(B55:AF55)</f>
        <v>-7.2499999999999973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-6.3749999999999982</v>
      </c>
      <c r="AM55" s="208"/>
      <c r="AN55" s="244">
        <f ca="1">IF(AH57="+",(AI55+AI57),(AI55-AI57))</f>
        <v>-7.2499999999999973</v>
      </c>
      <c r="AO55" s="244">
        <f ca="1">SUM(OFFSET(J.AZSaldo.Total,-12,0,MONTH(Monat.Tag1),1))</f>
        <v>-36.024999999999991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0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0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0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0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0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0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0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0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0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0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1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1.75</v>
      </c>
      <c r="AM67" s="208"/>
      <c r="AN67" s="244">
        <f ca="1">AK67+AL67-Monat.KomAZ.Total</f>
        <v>2.1875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 t="str">
        <f t="shared" ref="B82:AF82" ca="1" si="30">IF(B$12=0,"",IF(OR(WEEKDAY(B$10,2)&gt;5,B$11=0),
IF(T.50_NoVetsuisse,B45,
IF(OR(T.50_Vetsuisse,T.ServiceCenterIrchel,T.MedizinischeMikrobiologie),IF(B23-B73=0,"",B23-B73),
B60)),))</f>
        <v/>
      </c>
      <c r="C82" s="278">
        <f t="shared" ca="1" si="30"/>
        <v>0</v>
      </c>
      <c r="D82" s="279">
        <f t="shared" ca="1" si="30"/>
        <v>0</v>
      </c>
      <c r="E82" s="278">
        <f t="shared" ca="1" si="30"/>
        <v>0</v>
      </c>
      <c r="F82" s="279">
        <f t="shared" ca="1" si="30"/>
        <v>0</v>
      </c>
      <c r="G82" s="279">
        <f t="shared" ca="1" si="30"/>
        <v>0</v>
      </c>
      <c r="H82" s="279" t="str">
        <f t="shared" ca="1" si="30"/>
        <v/>
      </c>
      <c r="I82" s="279" t="str">
        <f t="shared" ca="1" si="30"/>
        <v/>
      </c>
      <c r="J82" s="278">
        <f t="shared" ca="1" si="30"/>
        <v>0</v>
      </c>
      <c r="K82" s="279">
        <f t="shared" ca="1" si="30"/>
        <v>0</v>
      </c>
      <c r="L82" s="278">
        <f t="shared" ca="1" si="30"/>
        <v>0</v>
      </c>
      <c r="M82" s="279">
        <f t="shared" ca="1" si="30"/>
        <v>0</v>
      </c>
      <c r="N82" s="279">
        <f t="shared" ca="1" si="30"/>
        <v>0</v>
      </c>
      <c r="O82" s="279" t="str">
        <f t="shared" ca="1" si="30"/>
        <v/>
      </c>
      <c r="P82" s="279" t="str">
        <f t="shared" ca="1" si="30"/>
        <v/>
      </c>
      <c r="Q82" s="278">
        <f t="shared" ca="1" si="30"/>
        <v>0</v>
      </c>
      <c r="R82" s="279">
        <f t="shared" ca="1" si="30"/>
        <v>0</v>
      </c>
      <c r="S82" s="278">
        <f t="shared" ca="1" si="30"/>
        <v>0</v>
      </c>
      <c r="T82" s="278">
        <f t="shared" ca="1" si="30"/>
        <v>0</v>
      </c>
      <c r="U82" s="279">
        <f t="shared" ca="1" si="30"/>
        <v>0</v>
      </c>
      <c r="V82" s="279" t="str">
        <f t="shared" ca="1" si="30"/>
        <v/>
      </c>
      <c r="W82" s="279" t="str">
        <f t="shared" ca="1" si="30"/>
        <v/>
      </c>
      <c r="X82" s="278">
        <f t="shared" ca="1" si="30"/>
        <v>0</v>
      </c>
      <c r="Y82" s="279">
        <f t="shared" ca="1" si="30"/>
        <v>0</v>
      </c>
      <c r="Z82" s="280">
        <f t="shared" ca="1" si="30"/>
        <v>0</v>
      </c>
      <c r="AA82" s="279" t="str">
        <f t="shared" ca="1" si="30"/>
        <v/>
      </c>
      <c r="AB82" s="279">
        <f t="shared" ca="1" si="30"/>
        <v>0</v>
      </c>
      <c r="AC82" s="279" t="str">
        <f t="shared" ca="1" si="30"/>
        <v/>
      </c>
      <c r="AD82" s="279" t="str">
        <f t="shared" ca="1" si="30"/>
        <v/>
      </c>
      <c r="AE82" s="278">
        <f t="shared" ca="1" si="30"/>
        <v>0</v>
      </c>
      <c r="AF82" s="279">
        <f t="shared" ca="1" si="30"/>
        <v>0</v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228" priority="16">
      <formula>ABS(B$114)&gt;=ROUND(1/24/60,9)</formula>
    </cfRule>
  </conditionalFormatting>
  <conditionalFormatting sqref="B13:AF22 B34:AF44 B25:AF30 B60:AF61 B67:AF67 B71:AF72 B84:AF84 B86:AF95 B97:AF111">
    <cfRule type="expression" dxfId="227" priority="14">
      <formula>WEEKDAY(B$10,2)&gt;5</formula>
    </cfRule>
    <cfRule type="expression" dxfId="226" priority="15">
      <formula>AND(NOT(ISERROR(MATCH(B$10,T.Feiertage.Bereich,0))),OFFSET(T.Feiertage.Bereich,MATCH(B$10,T.Feiertage.Bereich,0)-1,1,1,1)&gt;0)</formula>
    </cfRule>
    <cfRule type="expression" dxfId="225" priority="17">
      <formula>B$11=0</formula>
    </cfRule>
  </conditionalFormatting>
  <conditionalFormatting sqref="AN60:AO60">
    <cfRule type="expression" dxfId="224" priority="22">
      <formula>AND(T.50_Vetsuisse,AN60&gt;=T.GrenzeAngÜZ50_Vetsuisse)</formula>
    </cfRule>
    <cfRule type="expression" dxfId="223" priority="23">
      <formula>AND(T.50_Vetsuisse,AN60&gt;T.GrenzeAngÜZ50_Vetsuisse*T.AngÜZ50_Vetsuisse_orange)</formula>
    </cfRule>
  </conditionalFormatting>
  <conditionalFormatting sqref="B56:AF56">
    <cfRule type="expression" dxfId="222" priority="8">
      <formula>AND(B$10&gt;TODAY(),EB.UJAustritt="")</formula>
    </cfRule>
    <cfRule type="expression" dxfId="221" priority="9">
      <formula>B$56&gt;99.99/24</formula>
    </cfRule>
    <cfRule type="expression" dxfId="220" priority="11">
      <formula>B$56&lt;99.99/24*-1</formula>
    </cfRule>
  </conditionalFormatting>
  <conditionalFormatting sqref="AO55:AP55">
    <cfRule type="cellIs" dxfId="219" priority="24" operator="greaterThan">
      <formula>1/24/60</formula>
    </cfRule>
    <cfRule type="expression" dxfId="218" priority="25">
      <formula>AND(AO55&lt;=1/24/60*-1,TODAY()&gt;=DATE(EB.Jahr,MONTH(12),DAY(31)))</formula>
    </cfRule>
  </conditionalFormatting>
  <conditionalFormatting sqref="B56:AF56 AI58">
    <cfRule type="expression" dxfId="217" priority="10">
      <formula>B$56&gt;1/24/60</formula>
    </cfRule>
    <cfRule type="expression" dxfId="216" priority="12">
      <formula>AND(B$56&lt;=1/24/60*-1,B$56)</formula>
    </cfRule>
  </conditionalFormatting>
  <conditionalFormatting sqref="B14:AF22 B36:AF44 B26:AF30">
    <cfRule type="expression" dxfId="215" priority="6">
      <formula>AND(B14&lt;B13,B14&lt;&gt;"")</formula>
    </cfRule>
  </conditionalFormatting>
  <conditionalFormatting sqref="B72:AF73">
    <cfRule type="expression" dxfId="214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213" priority="18">
      <formula>$P$4&lt;&gt;""</formula>
    </cfRule>
  </conditionalFormatting>
  <conditionalFormatting sqref="V4">
    <cfRule type="expression" dxfId="212" priority="19">
      <formula>$V$4&lt;&gt;""</formula>
    </cfRule>
  </conditionalFormatting>
  <conditionalFormatting sqref="AP60">
    <cfRule type="expression" dxfId="211" priority="26">
      <formula>AND(T.50_Vetsuisse,AP60&gt;=T.GrenzeAngÜZ50_Vetsuisse)</formula>
    </cfRule>
    <cfRule type="expression" dxfId="210" priority="27">
      <formula>AND(T.50_Vetsuisse,AP60&gt;T.GrenzeAngÜZ50_Vetsuisse*T.AngÜZ50_Vetsuisse_orange)</formula>
    </cfRule>
  </conditionalFormatting>
  <conditionalFormatting sqref="AJ72:AJ73">
    <cfRule type="expression" dxfId="209" priority="20">
      <formula>AND(T.50_Vetsuisse,$AJ$72&lt;&gt;$AJ$73)</formula>
    </cfRule>
    <cfRule type="expression" dxfId="208" priority="21">
      <formula>$AJ$72&gt;$AJ$73</formula>
    </cfRule>
  </conditionalFormatting>
  <conditionalFormatting sqref="B55:AF55">
    <cfRule type="expression" dxfId="207" priority="7">
      <formula>AND(B$10&lt;=TODAY(),B$55&lt;1/24/60*-1)</formula>
    </cfRule>
  </conditionalFormatting>
  <conditionalFormatting sqref="AG67 AG84">
    <cfRule type="expression" dxfId="206" priority="5">
      <formula>AG67&lt;&gt;A67</formula>
    </cfRule>
  </conditionalFormatting>
  <conditionalFormatting sqref="B67:AF67">
    <cfRule type="expression" dxfId="205" priority="4">
      <formula>AND(B66=0,B67&gt;0)</formula>
    </cfRule>
  </conditionalFormatting>
  <conditionalFormatting sqref="B34:AF34">
    <cfRule type="expression" dxfId="204" priority="3">
      <formula>T.MedizinischeMikrobiologie</formula>
    </cfRule>
  </conditionalFormatting>
  <conditionalFormatting sqref="AK51">
    <cfRule type="expression" dxfId="203" priority="2">
      <formula>ISNUMBER(AK51)</formula>
    </cfRule>
  </conditionalFormatting>
  <conditionalFormatting sqref="AN51">
    <cfRule type="expression" dxfId="202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569444B3-4E94-43E2-B111-E8AEE7C9876A}">
      <formula1>T.JaNein.Bereich</formula1>
    </dataValidation>
    <dataValidation type="list" allowBlank="1" showInputMessage="1" showErrorMessage="1" errorTitle="Pikett Bereitschaft" error="Bitte wählen Sie einen Wert aus der Liste." sqref="B34:AF34" xr:uid="{3AD1F752-E4D1-4357-832C-65389D0DA711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7C0B8-CF82-466E-BDF3-D0B818C8EBD3}">
  <sheetPr>
    <pageSetUpPr autoPageBreaks="0" fitToPage="1"/>
  </sheetPr>
  <dimension ref="A1:AP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1" width="5.75" style="50" customWidth="1"/>
    <col min="32" max="32" width="24.5" style="52" customWidth="1"/>
    <col min="33" max="33" width="2.125" style="53" customWidth="1"/>
    <col min="34" max="35" width="8.125" style="50" customWidth="1"/>
    <col min="36" max="36" width="15.875" style="50" hidden="1" customWidth="1" outlineLevel="1"/>
    <col min="37" max="38" width="14.25" style="50" hidden="1" customWidth="1" outlineLevel="1"/>
    <col min="39" max="39" width="9.375" style="37" customWidth="1" collapsed="1"/>
    <col min="40" max="41" width="8.125" style="50" customWidth="1"/>
    <col min="42" max="42" width="3.75" style="50" customWidth="1"/>
    <col min="43" max="16384" width="10.75" style="50"/>
  </cols>
  <sheetData>
    <row r="1" spans="1:42" s="54" customFormat="1" ht="22.5" customHeight="1" x14ac:dyDescent="0.2">
      <c r="A1" s="180" t="str">
        <f>INDEX(EB.Monate.Bereich,MONTH(Monat.Tag1)) &amp; " " &amp; EB.Jahr</f>
        <v>Juni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83"/>
      <c r="AG1" s="184"/>
      <c r="AH1" s="100"/>
      <c r="AI1" s="100"/>
      <c r="AJ1" s="100"/>
      <c r="AK1" s="100"/>
      <c r="AL1" s="100"/>
      <c r="AM1" s="439"/>
      <c r="AN1" s="497" t="str">
        <f>EB.Version</f>
        <v>Version 12.21</v>
      </c>
      <c r="AO1" s="497"/>
      <c r="AP1" s="102" t="str">
        <f>EB.Sprache</f>
        <v>DE</v>
      </c>
    </row>
    <row r="2" spans="1:42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05"/>
      <c r="AG2" s="187"/>
      <c r="AH2" s="118"/>
      <c r="AI2" s="118"/>
      <c r="AJ2" s="118"/>
      <c r="AK2" s="118"/>
      <c r="AL2" s="118"/>
      <c r="AM2" s="188"/>
      <c r="AN2" s="118"/>
      <c r="AO2" s="118"/>
      <c r="AP2" s="118"/>
    </row>
    <row r="3" spans="1:42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05"/>
      <c r="AG3" s="187"/>
      <c r="AH3" s="118"/>
      <c r="AI3" s="118"/>
      <c r="AJ3" s="118"/>
      <c r="AK3" s="118"/>
      <c r="AL3" s="118"/>
      <c r="AM3" s="188"/>
      <c r="AN3" s="118"/>
      <c r="AO3" s="118"/>
      <c r="AP3" s="118"/>
    </row>
    <row r="4" spans="1:42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05"/>
      <c r="AG4" s="187"/>
      <c r="AH4" s="118"/>
      <c r="AI4" s="118"/>
      <c r="AJ4" s="118"/>
      <c r="AK4" s="118"/>
      <c r="AL4" s="118"/>
      <c r="AM4" s="188"/>
      <c r="AN4" s="118"/>
      <c r="AO4" s="118"/>
      <c r="AP4" s="118"/>
    </row>
    <row r="5" spans="1:42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Juni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05"/>
      <c r="AG5" s="187"/>
      <c r="AH5" s="118"/>
      <c r="AI5" s="118"/>
      <c r="AJ5" s="118"/>
      <c r="AK5" s="118"/>
      <c r="AL5" s="118"/>
      <c r="AM5" s="188"/>
      <c r="AN5" s="118"/>
      <c r="AO5" s="118"/>
      <c r="AP5" s="118"/>
    </row>
    <row r="6" spans="1:42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05"/>
      <c r="AG6" s="187"/>
      <c r="AH6" s="118"/>
      <c r="AI6" s="118"/>
      <c r="AJ6" s="118"/>
      <c r="AK6" s="118"/>
      <c r="AL6" s="118"/>
      <c r="AM6" s="188"/>
      <c r="AN6" s="118"/>
      <c r="AO6" s="118"/>
      <c r="AP6" s="118"/>
    </row>
    <row r="7" spans="1:42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05"/>
      <c r="AG7" s="187"/>
      <c r="AH7" s="118"/>
      <c r="AI7" s="118"/>
      <c r="AJ7" s="118"/>
      <c r="AK7" s="118"/>
      <c r="AL7" s="118"/>
      <c r="AM7" s="188"/>
      <c r="AN7" s="118"/>
      <c r="AO7" s="118"/>
      <c r="AP7" s="118"/>
    </row>
    <row r="8" spans="1:42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05"/>
      <c r="AG8" s="187"/>
      <c r="AH8" s="118"/>
      <c r="AI8" s="118"/>
      <c r="AJ8" s="118"/>
      <c r="AK8" s="118"/>
      <c r="AL8" s="118"/>
      <c r="AM8" s="188"/>
      <c r="AN8" s="118"/>
      <c r="AO8" s="118"/>
      <c r="AP8" s="118"/>
    </row>
    <row r="9" spans="1:42" s="38" customFormat="1" ht="15" customHeight="1" x14ac:dyDescent="0.2">
      <c r="A9" s="134"/>
      <c r="B9" s="194" t="str">
        <f t="shared" ref="B9:AE9" si="0">INDEX(Monat.Wochentage.Bereich,1,WEEKDAY(B10,2))</f>
        <v>Mi</v>
      </c>
      <c r="C9" s="194" t="str">
        <f t="shared" si="0"/>
        <v>Do</v>
      </c>
      <c r="D9" s="194" t="str">
        <f t="shared" si="0"/>
        <v>Fr</v>
      </c>
      <c r="E9" s="194" t="str">
        <f t="shared" si="0"/>
        <v>Sa</v>
      </c>
      <c r="F9" s="194" t="str">
        <f t="shared" si="0"/>
        <v>So</v>
      </c>
      <c r="G9" s="194" t="str">
        <f t="shared" si="0"/>
        <v>Mo</v>
      </c>
      <c r="H9" s="194" t="str">
        <f t="shared" si="0"/>
        <v>Di</v>
      </c>
      <c r="I9" s="194" t="str">
        <f t="shared" si="0"/>
        <v>Mi</v>
      </c>
      <c r="J9" s="194" t="str">
        <f t="shared" si="0"/>
        <v>Do</v>
      </c>
      <c r="K9" s="194" t="str">
        <f t="shared" si="0"/>
        <v>Fr</v>
      </c>
      <c r="L9" s="194" t="str">
        <f t="shared" si="0"/>
        <v>Sa</v>
      </c>
      <c r="M9" s="194" t="str">
        <f t="shared" si="0"/>
        <v>So</v>
      </c>
      <c r="N9" s="194" t="str">
        <f t="shared" si="0"/>
        <v>Mo</v>
      </c>
      <c r="O9" s="194" t="str">
        <f t="shared" si="0"/>
        <v>Di</v>
      </c>
      <c r="P9" s="194" t="str">
        <f t="shared" si="0"/>
        <v>Mi</v>
      </c>
      <c r="Q9" s="194" t="str">
        <f t="shared" si="0"/>
        <v>Do</v>
      </c>
      <c r="R9" s="194" t="str">
        <f t="shared" si="0"/>
        <v>Fr</v>
      </c>
      <c r="S9" s="194" t="str">
        <f t="shared" si="0"/>
        <v>Sa</v>
      </c>
      <c r="T9" s="194" t="str">
        <f t="shared" si="0"/>
        <v>So</v>
      </c>
      <c r="U9" s="194" t="str">
        <f t="shared" si="0"/>
        <v>Mo</v>
      </c>
      <c r="V9" s="194" t="str">
        <f t="shared" si="0"/>
        <v>Di</v>
      </c>
      <c r="W9" s="194" t="str">
        <f t="shared" si="0"/>
        <v>Mi</v>
      </c>
      <c r="X9" s="194" t="str">
        <f t="shared" si="0"/>
        <v>Do</v>
      </c>
      <c r="Y9" s="194" t="str">
        <f t="shared" si="0"/>
        <v>Fr</v>
      </c>
      <c r="Z9" s="194" t="str">
        <f t="shared" si="0"/>
        <v>Sa</v>
      </c>
      <c r="AA9" s="194" t="str">
        <f t="shared" si="0"/>
        <v>So</v>
      </c>
      <c r="AB9" s="194" t="str">
        <f t="shared" si="0"/>
        <v>Mo</v>
      </c>
      <c r="AC9" s="194" t="str">
        <f t="shared" si="0"/>
        <v>Di</v>
      </c>
      <c r="AD9" s="194" t="str">
        <f t="shared" si="0"/>
        <v>Mi</v>
      </c>
      <c r="AE9" s="194" t="str">
        <f t="shared" si="0"/>
        <v>Do</v>
      </c>
      <c r="AF9" s="105"/>
      <c r="AG9" s="187"/>
      <c r="AH9" s="118"/>
      <c r="AI9" s="118"/>
      <c r="AJ9" s="118"/>
      <c r="AK9" s="118"/>
      <c r="AL9" s="118"/>
      <c r="AM9" s="188"/>
      <c r="AN9" s="118"/>
      <c r="AO9" s="118"/>
      <c r="AP9" s="118"/>
    </row>
    <row r="10" spans="1:42" s="59" customFormat="1" ht="25.5" x14ac:dyDescent="0.2">
      <c r="A10" s="195" t="s">
        <v>15</v>
      </c>
      <c r="B10" s="196">
        <v>43251</v>
      </c>
      <c r="C10" s="196">
        <f>B10+1</f>
        <v>43252</v>
      </c>
      <c r="D10" s="196">
        <f t="shared" ref="D10:AE10" si="1">C10+1</f>
        <v>43253</v>
      </c>
      <c r="E10" s="196">
        <f t="shared" si="1"/>
        <v>43254</v>
      </c>
      <c r="F10" s="196">
        <f t="shared" si="1"/>
        <v>43255</v>
      </c>
      <c r="G10" s="196">
        <f t="shared" si="1"/>
        <v>43256</v>
      </c>
      <c r="H10" s="196">
        <f t="shared" si="1"/>
        <v>43257</v>
      </c>
      <c r="I10" s="196">
        <f t="shared" si="1"/>
        <v>43258</v>
      </c>
      <c r="J10" s="196">
        <f t="shared" si="1"/>
        <v>43259</v>
      </c>
      <c r="K10" s="196">
        <f t="shared" si="1"/>
        <v>43260</v>
      </c>
      <c r="L10" s="196">
        <f t="shared" si="1"/>
        <v>43261</v>
      </c>
      <c r="M10" s="196">
        <f t="shared" si="1"/>
        <v>43262</v>
      </c>
      <c r="N10" s="196">
        <f t="shared" si="1"/>
        <v>43263</v>
      </c>
      <c r="O10" s="196">
        <f t="shared" si="1"/>
        <v>43264</v>
      </c>
      <c r="P10" s="196">
        <f t="shared" si="1"/>
        <v>43265</v>
      </c>
      <c r="Q10" s="196">
        <f t="shared" si="1"/>
        <v>43266</v>
      </c>
      <c r="R10" s="196">
        <f t="shared" si="1"/>
        <v>43267</v>
      </c>
      <c r="S10" s="196">
        <f t="shared" si="1"/>
        <v>43268</v>
      </c>
      <c r="T10" s="196">
        <f t="shared" si="1"/>
        <v>43269</v>
      </c>
      <c r="U10" s="196">
        <f t="shared" si="1"/>
        <v>43270</v>
      </c>
      <c r="V10" s="196">
        <f t="shared" si="1"/>
        <v>43271</v>
      </c>
      <c r="W10" s="196">
        <f t="shared" si="1"/>
        <v>43272</v>
      </c>
      <c r="X10" s="196">
        <f t="shared" si="1"/>
        <v>43273</v>
      </c>
      <c r="Y10" s="196">
        <f t="shared" si="1"/>
        <v>43274</v>
      </c>
      <c r="Z10" s="196">
        <f t="shared" si="1"/>
        <v>43275</v>
      </c>
      <c r="AA10" s="196">
        <f t="shared" si="1"/>
        <v>43276</v>
      </c>
      <c r="AB10" s="196">
        <f t="shared" si="1"/>
        <v>43277</v>
      </c>
      <c r="AC10" s="196">
        <f t="shared" si="1"/>
        <v>43278</v>
      </c>
      <c r="AD10" s="196">
        <f t="shared" si="1"/>
        <v>43279</v>
      </c>
      <c r="AE10" s="196">
        <f t="shared" si="1"/>
        <v>43280</v>
      </c>
      <c r="AF10" s="197" t="str">
        <f>A10</f>
        <v>Tag</v>
      </c>
      <c r="AG10" s="485" t="str">
        <f>"Total " &amp; INDEX(EB.Monate.Bereich,MONTH(Monat.Tag1))</f>
        <v>Total Juni</v>
      </c>
      <c r="AH10" s="486"/>
      <c r="AI10" s="440" t="s">
        <v>232</v>
      </c>
      <c r="AJ10" s="198" t="s">
        <v>141</v>
      </c>
      <c r="AK10" s="198" t="s">
        <v>32</v>
      </c>
      <c r="AL10" s="198" t="s">
        <v>224</v>
      </c>
      <c r="AM10" s="199" t="s">
        <v>35</v>
      </c>
      <c r="AN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O10" s="488"/>
      <c r="AP10" s="200"/>
    </row>
    <row r="11" spans="1:42" s="59" customFormat="1" ht="12" hidden="1" customHeight="1" x14ac:dyDescent="0.2">
      <c r="A11" s="195" t="s">
        <v>181</v>
      </c>
      <c r="B11" s="201">
        <f t="shared" ref="B11:AE11" ca="1" si="2">IFERROR(OFFSET(T.Feiertage.Bereich,MATCH(B$10,T.Feiertage.Bereich,0)-1,1,1,1),1)</f>
        <v>1</v>
      </c>
      <c r="C11" s="201">
        <f t="shared" ca="1" si="2"/>
        <v>1</v>
      </c>
      <c r="D11" s="201">
        <f t="shared" ca="1" si="2"/>
        <v>1</v>
      </c>
      <c r="E11" s="202">
        <f t="shared" ca="1" si="2"/>
        <v>1</v>
      </c>
      <c r="F11" s="201">
        <f t="shared" ca="1" si="2"/>
        <v>1</v>
      </c>
      <c r="G11" s="201">
        <f t="shared" ca="1" si="2"/>
        <v>0</v>
      </c>
      <c r="H11" s="201">
        <f t="shared" ca="1" si="2"/>
        <v>1</v>
      </c>
      <c r="I11" s="201">
        <f t="shared" ca="1" si="2"/>
        <v>1</v>
      </c>
      <c r="J11" s="202">
        <f t="shared" ca="1" si="2"/>
        <v>1</v>
      </c>
      <c r="K11" s="201">
        <f t="shared" ca="1" si="2"/>
        <v>1</v>
      </c>
      <c r="L11" s="202">
        <f t="shared" ca="1" si="2"/>
        <v>1</v>
      </c>
      <c r="M11" s="201">
        <f t="shared" ca="1" si="2"/>
        <v>1</v>
      </c>
      <c r="N11" s="201">
        <f t="shared" ca="1" si="2"/>
        <v>1</v>
      </c>
      <c r="O11" s="201">
        <f t="shared" ca="1" si="2"/>
        <v>1</v>
      </c>
      <c r="P11" s="201">
        <f t="shared" ca="1" si="2"/>
        <v>1</v>
      </c>
      <c r="Q11" s="202">
        <f t="shared" ca="1" si="2"/>
        <v>1</v>
      </c>
      <c r="R11" s="201">
        <f t="shared" ca="1" si="2"/>
        <v>1</v>
      </c>
      <c r="S11" s="202">
        <f t="shared" ca="1" si="2"/>
        <v>1</v>
      </c>
      <c r="T11" s="202">
        <f t="shared" ca="1" si="2"/>
        <v>1</v>
      </c>
      <c r="U11" s="201">
        <f t="shared" ca="1" si="2"/>
        <v>1</v>
      </c>
      <c r="V11" s="201">
        <f t="shared" ca="1" si="2"/>
        <v>1</v>
      </c>
      <c r="W11" s="201">
        <f t="shared" ca="1" si="2"/>
        <v>1</v>
      </c>
      <c r="X11" s="202">
        <f t="shared" ca="1" si="2"/>
        <v>1</v>
      </c>
      <c r="Y11" s="201">
        <f t="shared" ca="1" si="2"/>
        <v>1</v>
      </c>
      <c r="Z11" s="203">
        <f t="shared" ca="1" si="2"/>
        <v>1</v>
      </c>
      <c r="AA11" s="201">
        <f t="shared" ca="1" si="2"/>
        <v>1</v>
      </c>
      <c r="AB11" s="201">
        <f t="shared" ca="1" si="2"/>
        <v>1</v>
      </c>
      <c r="AC11" s="201">
        <f t="shared" ca="1" si="2"/>
        <v>1</v>
      </c>
      <c r="AD11" s="201">
        <f t="shared" ca="1" si="2"/>
        <v>1</v>
      </c>
      <c r="AE11" s="202">
        <f t="shared" ca="1" si="2"/>
        <v>1</v>
      </c>
      <c r="AF11" s="204"/>
      <c r="AG11" s="187"/>
      <c r="AH11" s="205"/>
      <c r="AI11" s="206"/>
      <c r="AJ11" s="207"/>
      <c r="AK11" s="208"/>
      <c r="AL11" s="208"/>
      <c r="AM11" s="207"/>
      <c r="AN11" s="208"/>
      <c r="AO11" s="208"/>
      <c r="AP11" s="200"/>
    </row>
    <row r="12" spans="1:42" s="59" customFormat="1" ht="12" hidden="1" customHeight="1" x14ac:dyDescent="0.2">
      <c r="A12" s="195" t="s">
        <v>191</v>
      </c>
      <c r="B12" s="209">
        <f t="shared" ref="B12:AE12" si="3">IF(OR(AND(ISNUMBER(EB.UJEintritt),EB.UJEintritt&gt;=B$10+1),AND(ISNUMBER(EB.UJAustritt),EB.UJAustritt&lt;=B$10-1)),0,1)</f>
        <v>1</v>
      </c>
      <c r="C12" s="209">
        <f t="shared" si="3"/>
        <v>1</v>
      </c>
      <c r="D12" s="209">
        <f t="shared" si="3"/>
        <v>1</v>
      </c>
      <c r="E12" s="194">
        <f t="shared" si="3"/>
        <v>1</v>
      </c>
      <c r="F12" s="209">
        <f t="shared" si="3"/>
        <v>1</v>
      </c>
      <c r="G12" s="209">
        <f t="shared" si="3"/>
        <v>1</v>
      </c>
      <c r="H12" s="209">
        <f t="shared" si="3"/>
        <v>1</v>
      </c>
      <c r="I12" s="209">
        <f t="shared" si="3"/>
        <v>1</v>
      </c>
      <c r="J12" s="194">
        <f t="shared" si="3"/>
        <v>1</v>
      </c>
      <c r="K12" s="209">
        <f t="shared" si="3"/>
        <v>1</v>
      </c>
      <c r="L12" s="194">
        <f t="shared" si="3"/>
        <v>1</v>
      </c>
      <c r="M12" s="209">
        <f t="shared" si="3"/>
        <v>1</v>
      </c>
      <c r="N12" s="209">
        <f t="shared" si="3"/>
        <v>1</v>
      </c>
      <c r="O12" s="209">
        <f t="shared" si="3"/>
        <v>1</v>
      </c>
      <c r="P12" s="209">
        <f t="shared" si="3"/>
        <v>1</v>
      </c>
      <c r="Q12" s="194">
        <f t="shared" si="3"/>
        <v>1</v>
      </c>
      <c r="R12" s="209">
        <f t="shared" si="3"/>
        <v>1</v>
      </c>
      <c r="S12" s="194">
        <f t="shared" si="3"/>
        <v>1</v>
      </c>
      <c r="T12" s="194">
        <f t="shared" si="3"/>
        <v>1</v>
      </c>
      <c r="U12" s="209">
        <f t="shared" si="3"/>
        <v>1</v>
      </c>
      <c r="V12" s="209">
        <f t="shared" si="3"/>
        <v>1</v>
      </c>
      <c r="W12" s="209">
        <f t="shared" si="3"/>
        <v>1</v>
      </c>
      <c r="X12" s="194">
        <f t="shared" si="3"/>
        <v>1</v>
      </c>
      <c r="Y12" s="209">
        <f t="shared" si="3"/>
        <v>1</v>
      </c>
      <c r="Z12" s="210">
        <f t="shared" si="3"/>
        <v>1</v>
      </c>
      <c r="AA12" s="209">
        <f t="shared" si="3"/>
        <v>1</v>
      </c>
      <c r="AB12" s="209">
        <f t="shared" si="3"/>
        <v>1</v>
      </c>
      <c r="AC12" s="209">
        <f t="shared" si="3"/>
        <v>1</v>
      </c>
      <c r="AD12" s="209">
        <f t="shared" si="3"/>
        <v>1</v>
      </c>
      <c r="AE12" s="194">
        <f t="shared" si="3"/>
        <v>1</v>
      </c>
      <c r="AF12" s="204"/>
      <c r="AG12" s="187"/>
      <c r="AH12" s="205"/>
      <c r="AI12" s="206"/>
      <c r="AJ12" s="207"/>
      <c r="AK12" s="208"/>
      <c r="AL12" s="208"/>
      <c r="AM12" s="207"/>
      <c r="AN12" s="208"/>
      <c r="AO12" s="208"/>
      <c r="AP12" s="200"/>
    </row>
    <row r="13" spans="1:42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204" t="str">
        <f t="shared" ref="AF13:AF23" si="4">A13</f>
        <v>ein</v>
      </c>
      <c r="AG13" s="187"/>
      <c r="AH13" s="205"/>
      <c r="AI13" s="206"/>
      <c r="AJ13" s="207"/>
      <c r="AK13" s="208"/>
      <c r="AL13" s="208"/>
      <c r="AM13" s="207"/>
      <c r="AN13" s="208"/>
      <c r="AO13" s="208"/>
      <c r="AP13" s="118"/>
    </row>
    <row r="14" spans="1:42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204" t="str">
        <f t="shared" si="4"/>
        <v>aus</v>
      </c>
      <c r="AG14" s="187"/>
      <c r="AH14" s="205"/>
      <c r="AI14" s="206"/>
      <c r="AJ14" s="207"/>
      <c r="AK14" s="208"/>
      <c r="AL14" s="208"/>
      <c r="AM14" s="207"/>
      <c r="AN14" s="208"/>
      <c r="AO14" s="208"/>
      <c r="AP14" s="118"/>
    </row>
    <row r="15" spans="1:42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204" t="str">
        <f t="shared" si="4"/>
        <v>ein</v>
      </c>
      <c r="AG15" s="187"/>
      <c r="AH15" s="205"/>
      <c r="AI15" s="206"/>
      <c r="AJ15" s="207"/>
      <c r="AK15" s="208"/>
      <c r="AL15" s="208"/>
      <c r="AM15" s="207"/>
      <c r="AN15" s="208"/>
      <c r="AO15" s="208"/>
      <c r="AP15" s="118"/>
    </row>
    <row r="16" spans="1:42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204" t="str">
        <f t="shared" si="4"/>
        <v>aus</v>
      </c>
      <c r="AG16" s="187"/>
      <c r="AH16" s="212"/>
      <c r="AI16" s="213"/>
      <c r="AJ16" s="208"/>
      <c r="AK16" s="208"/>
      <c r="AL16" s="208"/>
      <c r="AM16" s="207"/>
      <c r="AN16" s="208"/>
      <c r="AO16" s="208"/>
      <c r="AP16" s="118"/>
    </row>
    <row r="17" spans="1:42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204" t="str">
        <f t="shared" si="4"/>
        <v>ein</v>
      </c>
      <c r="AG17" s="187"/>
      <c r="AH17" s="212"/>
      <c r="AI17" s="213"/>
      <c r="AJ17" s="208"/>
      <c r="AK17" s="208"/>
      <c r="AL17" s="208"/>
      <c r="AM17" s="207"/>
      <c r="AN17" s="208"/>
      <c r="AO17" s="208"/>
      <c r="AP17" s="118"/>
    </row>
    <row r="18" spans="1:42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204" t="str">
        <f t="shared" si="4"/>
        <v>aus</v>
      </c>
      <c r="AG18" s="187"/>
      <c r="AH18" s="212"/>
      <c r="AI18" s="213"/>
      <c r="AJ18" s="208"/>
      <c r="AK18" s="208"/>
      <c r="AL18" s="208"/>
      <c r="AM18" s="207"/>
      <c r="AN18" s="208"/>
      <c r="AO18" s="208"/>
      <c r="AP18" s="118"/>
    </row>
    <row r="19" spans="1:42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204" t="str">
        <f t="shared" si="4"/>
        <v>ein</v>
      </c>
      <c r="AG19" s="187"/>
      <c r="AH19" s="212"/>
      <c r="AI19" s="213"/>
      <c r="AJ19" s="208"/>
      <c r="AK19" s="208"/>
      <c r="AL19" s="208"/>
      <c r="AM19" s="207"/>
      <c r="AN19" s="208"/>
      <c r="AO19" s="208"/>
      <c r="AP19" s="118"/>
    </row>
    <row r="20" spans="1:42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204" t="str">
        <f t="shared" si="4"/>
        <v>aus</v>
      </c>
      <c r="AG20" s="187"/>
      <c r="AH20" s="212"/>
      <c r="AI20" s="213"/>
      <c r="AJ20" s="208"/>
      <c r="AK20" s="208"/>
      <c r="AL20" s="208"/>
      <c r="AM20" s="207"/>
      <c r="AN20" s="208"/>
      <c r="AO20" s="208"/>
      <c r="AP20" s="118"/>
    </row>
    <row r="21" spans="1:42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204" t="str">
        <f t="shared" si="4"/>
        <v>ein</v>
      </c>
      <c r="AG21" s="187"/>
      <c r="AH21" s="212"/>
      <c r="AI21" s="213"/>
      <c r="AJ21" s="208"/>
      <c r="AK21" s="208"/>
      <c r="AL21" s="208"/>
      <c r="AM21" s="207"/>
      <c r="AN21" s="208"/>
      <c r="AO21" s="208"/>
      <c r="AP21" s="118"/>
    </row>
    <row r="22" spans="1:42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204" t="str">
        <f t="shared" si="4"/>
        <v>aus</v>
      </c>
      <c r="AG22" s="187"/>
      <c r="AH22" s="212"/>
      <c r="AI22" s="213"/>
      <c r="AJ22" s="208"/>
      <c r="AK22" s="208"/>
      <c r="AL22" s="208"/>
      <c r="AM22" s="207"/>
      <c r="AN22" s="208"/>
      <c r="AO22" s="208"/>
      <c r="AP22" s="118"/>
    </row>
    <row r="23" spans="1:42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E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6" t="str">
        <f t="shared" si="4"/>
        <v>Total ein/aus</v>
      </c>
      <c r="AG23" s="217"/>
      <c r="AH23" s="218">
        <f>SUM(B23:AE23)</f>
        <v>0</v>
      </c>
      <c r="AI23" s="213"/>
      <c r="AJ23" s="208"/>
      <c r="AK23" s="208"/>
      <c r="AL23" s="208"/>
      <c r="AM23" s="207"/>
      <c r="AN23" s="208"/>
      <c r="AO23" s="208"/>
      <c r="AP23" s="118"/>
    </row>
    <row r="24" spans="1:42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04"/>
      <c r="AG24" s="187"/>
      <c r="AH24" s="212"/>
      <c r="AI24" s="213"/>
      <c r="AJ24" s="208"/>
      <c r="AK24" s="208"/>
      <c r="AL24" s="208"/>
      <c r="AM24" s="207"/>
      <c r="AN24" s="208"/>
      <c r="AO24" s="208"/>
      <c r="AP24" s="118"/>
    </row>
    <row r="25" spans="1:42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204" t="str">
        <f t="shared" ref="AF25:AF30" si="6">A25</f>
        <v>bezahlte Pause ein</v>
      </c>
      <c r="AG25" s="187"/>
      <c r="AH25" s="212"/>
      <c r="AI25" s="213"/>
      <c r="AJ25" s="208"/>
      <c r="AK25" s="208"/>
      <c r="AL25" s="208"/>
      <c r="AM25" s="207"/>
      <c r="AN25" s="208"/>
      <c r="AO25" s="208"/>
      <c r="AP25" s="118"/>
    </row>
    <row r="26" spans="1:42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204" t="str">
        <f t="shared" si="6"/>
        <v>bezahlte Pause aus</v>
      </c>
      <c r="AG26" s="187"/>
      <c r="AH26" s="212"/>
      <c r="AI26" s="213"/>
      <c r="AJ26" s="208"/>
      <c r="AK26" s="208"/>
      <c r="AL26" s="208"/>
      <c r="AM26" s="207"/>
      <c r="AN26" s="208"/>
      <c r="AO26" s="208"/>
      <c r="AP26" s="118"/>
    </row>
    <row r="27" spans="1:42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204" t="str">
        <f t="shared" si="6"/>
        <v>bezahlte Pause ein</v>
      </c>
      <c r="AG27" s="187"/>
      <c r="AH27" s="212"/>
      <c r="AI27" s="213"/>
      <c r="AJ27" s="208"/>
      <c r="AK27" s="208"/>
      <c r="AL27" s="208"/>
      <c r="AM27" s="207"/>
      <c r="AN27" s="208"/>
      <c r="AO27" s="208"/>
      <c r="AP27" s="118"/>
    </row>
    <row r="28" spans="1:42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204" t="str">
        <f t="shared" si="6"/>
        <v>bezahlte Pause aus</v>
      </c>
      <c r="AG28" s="187"/>
      <c r="AH28" s="212"/>
      <c r="AI28" s="213"/>
      <c r="AJ28" s="208"/>
      <c r="AK28" s="208"/>
      <c r="AL28" s="208"/>
      <c r="AM28" s="207"/>
      <c r="AN28" s="208"/>
      <c r="AO28" s="208"/>
      <c r="AP28" s="118"/>
    </row>
    <row r="29" spans="1:42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204" t="str">
        <f t="shared" si="6"/>
        <v>bezahlte Pause ein</v>
      </c>
      <c r="AG29" s="187"/>
      <c r="AH29" s="212"/>
      <c r="AI29" s="213"/>
      <c r="AJ29" s="208"/>
      <c r="AK29" s="208"/>
      <c r="AL29" s="208"/>
      <c r="AM29" s="207"/>
      <c r="AN29" s="208"/>
      <c r="AO29" s="208"/>
      <c r="AP29" s="118"/>
    </row>
    <row r="30" spans="1:42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204" t="str">
        <f t="shared" si="6"/>
        <v>bezahlte Pause aus</v>
      </c>
      <c r="AG30" s="187"/>
      <c r="AH30" s="212"/>
      <c r="AI30" s="213"/>
      <c r="AJ30" s="208"/>
      <c r="AK30" s="208"/>
      <c r="AL30" s="208"/>
      <c r="AM30" s="207"/>
      <c r="AN30" s="208"/>
      <c r="AO30" s="208"/>
      <c r="AP30" s="118"/>
    </row>
    <row r="31" spans="1:42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04"/>
      <c r="AG31" s="187"/>
      <c r="AH31" s="212"/>
      <c r="AI31" s="213"/>
      <c r="AJ31" s="208"/>
      <c r="AK31" s="208"/>
      <c r="AL31" s="208"/>
      <c r="AM31" s="207"/>
      <c r="AN31" s="208"/>
      <c r="AO31" s="208"/>
      <c r="AP31" s="118"/>
    </row>
    <row r="32" spans="1:42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E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16" t="str">
        <f>A32</f>
        <v>Total Pausen (ein aus/bez.)</v>
      </c>
      <c r="AG32" s="217"/>
      <c r="AH32" s="218">
        <f>SUM(B32:AE32)</f>
        <v>0</v>
      </c>
      <c r="AI32" s="213"/>
      <c r="AJ32" s="208"/>
      <c r="AK32" s="208"/>
      <c r="AL32" s="208"/>
      <c r="AM32" s="207"/>
      <c r="AN32" s="208"/>
      <c r="AO32" s="208"/>
      <c r="AP32" s="118"/>
    </row>
    <row r="33" spans="1:42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04"/>
      <c r="AG33" s="187"/>
      <c r="AH33" s="212"/>
      <c r="AI33" s="213"/>
      <c r="AJ33" s="208"/>
      <c r="AK33" s="208"/>
      <c r="AL33" s="208"/>
      <c r="AM33" s="207"/>
      <c r="AN33" s="208"/>
      <c r="AO33" s="208"/>
      <c r="AP33" s="118"/>
    </row>
    <row r="34" spans="1:42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G34" s="227"/>
      <c r="AH34" s="223"/>
      <c r="AI34" s="228" t="str">
        <f ca="1">IF(T.50_Vetsuisse,IFERROR(SUMPRODUCT((B34:AE34=INDEX(T.Pikett.Bereich,4))*((B49:AE49)&lt;1/24*5)),0) &amp; " / " &amp; IFERROR(SUMPRODUCT((B34:AE34=INDEX(T.Pikett.Bereich,4))*((B49:AE49)&gt;=1/24*5)),0) &amp; " / " &amp; IFERROR(SUMPRODUCT((B34:AE34=INDEX(T.Pikett.Bereich,4))*((B49:AE49)&lt;1/24*5)),0) + IFERROR(SUMPRODUCT((B34:AE34=INDEX(T.Pikett.Bereich,4))*((B49:AE49)&gt;=1/24*5)),0),
IFERROR(SUMPRODUCT((B34:AE34=INDEX(T.Pikett.Bereich,4))*(WEEKDAY(B10:AE10,2)&lt;6)*(B11:AE11&lt;&gt;0)),0) &amp; " / " &amp; IFERROR(SUMPRODUCT((B34:AE34=INDEX(T.Pikett.Bereich,4))*(WEEKDAY(B10:AE10,2)&gt;5)*(B11:AE11&lt;&gt;0))+SUMPRODUCT((B34:AE34=INDEX(T.Pikett.Bereich,4))*(B11:AE11=0)),0) &amp; " / " &amp; IFERROR(SUMPRODUCT((B34:AE34=INDEX(T.Pikett.Bereich,4))*(WEEKDAY(B10:AE10,2)&lt;6)*(B11:AE11&lt;&gt;0)),0) + IFERROR(SUMPRODUCT((B34:AE34=INDEX(T.Pikett.Bereich,4))*(WEEKDAY(B10:AE10,2)&gt;5)*(B11:AE11&lt;&gt;0))+SUMPRODUCT((B34:AE34=INDEX(T.Pikett.Bereich,4))*(B11:AE11=0)),0))</f>
        <v>0 / 0 / 0</v>
      </c>
      <c r="AJ34" s="208"/>
      <c r="AK34" s="208"/>
      <c r="AL34" s="208"/>
      <c r="AM34" s="207"/>
      <c r="AN34" s="208"/>
      <c r="AO34" s="208"/>
      <c r="AP34" s="118"/>
    </row>
    <row r="35" spans="1:42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204" t="str">
        <f t="shared" ref="AF35:AF45" si="8">A35</f>
        <v>ein</v>
      </c>
      <c r="AG35" s="187"/>
      <c r="AH35" s="212"/>
      <c r="AI35" s="213"/>
      <c r="AJ35" s="208"/>
      <c r="AK35" s="208"/>
      <c r="AL35" s="208"/>
      <c r="AM35" s="207"/>
      <c r="AN35" s="208"/>
      <c r="AO35" s="208"/>
      <c r="AP35" s="118"/>
    </row>
    <row r="36" spans="1:42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204" t="str">
        <f t="shared" si="8"/>
        <v>aus</v>
      </c>
      <c r="AG36" s="187"/>
      <c r="AH36" s="212"/>
      <c r="AI36" s="213"/>
      <c r="AJ36" s="208"/>
      <c r="AK36" s="208"/>
      <c r="AL36" s="208"/>
      <c r="AM36" s="207"/>
      <c r="AN36" s="208"/>
      <c r="AO36" s="208"/>
      <c r="AP36" s="118"/>
    </row>
    <row r="37" spans="1:42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204" t="str">
        <f t="shared" si="8"/>
        <v>ein</v>
      </c>
      <c r="AG37" s="187"/>
      <c r="AH37" s="212"/>
      <c r="AI37" s="213"/>
      <c r="AJ37" s="208"/>
      <c r="AK37" s="208"/>
      <c r="AL37" s="208"/>
      <c r="AM37" s="207"/>
      <c r="AN37" s="208"/>
      <c r="AO37" s="208"/>
      <c r="AP37" s="118"/>
    </row>
    <row r="38" spans="1:42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204" t="str">
        <f t="shared" si="8"/>
        <v>aus</v>
      </c>
      <c r="AG38" s="187"/>
      <c r="AH38" s="212"/>
      <c r="AI38" s="213"/>
      <c r="AJ38" s="208"/>
      <c r="AK38" s="208"/>
      <c r="AL38" s="208"/>
      <c r="AM38" s="207"/>
      <c r="AN38" s="208"/>
      <c r="AO38" s="208"/>
      <c r="AP38" s="118"/>
    </row>
    <row r="39" spans="1:42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204" t="str">
        <f t="shared" si="8"/>
        <v>ein</v>
      </c>
      <c r="AG39" s="187"/>
      <c r="AH39" s="212"/>
      <c r="AI39" s="213"/>
      <c r="AJ39" s="208"/>
      <c r="AK39" s="208"/>
      <c r="AL39" s="208"/>
      <c r="AM39" s="207"/>
      <c r="AN39" s="208"/>
      <c r="AO39" s="208"/>
      <c r="AP39" s="118"/>
    </row>
    <row r="40" spans="1:42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204" t="str">
        <f t="shared" si="8"/>
        <v>aus</v>
      </c>
      <c r="AG40" s="187"/>
      <c r="AH40" s="212"/>
      <c r="AI40" s="213"/>
      <c r="AJ40" s="208"/>
      <c r="AK40" s="208"/>
      <c r="AL40" s="208"/>
      <c r="AM40" s="207"/>
      <c r="AN40" s="208"/>
      <c r="AO40" s="208"/>
      <c r="AP40" s="118"/>
    </row>
    <row r="41" spans="1:42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204" t="str">
        <f t="shared" si="8"/>
        <v>ein</v>
      </c>
      <c r="AG41" s="187"/>
      <c r="AH41" s="212"/>
      <c r="AI41" s="213"/>
      <c r="AJ41" s="208"/>
      <c r="AK41" s="208"/>
      <c r="AL41" s="208"/>
      <c r="AM41" s="207"/>
      <c r="AN41" s="208"/>
      <c r="AO41" s="208"/>
      <c r="AP41" s="118"/>
    </row>
    <row r="42" spans="1:42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204" t="str">
        <f t="shared" si="8"/>
        <v>aus</v>
      </c>
      <c r="AG42" s="187"/>
      <c r="AH42" s="212"/>
      <c r="AI42" s="213"/>
      <c r="AJ42" s="208"/>
      <c r="AK42" s="208"/>
      <c r="AL42" s="208"/>
      <c r="AM42" s="207"/>
      <c r="AN42" s="208"/>
      <c r="AO42" s="208"/>
      <c r="AP42" s="118"/>
    </row>
    <row r="43" spans="1:42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204" t="str">
        <f t="shared" si="8"/>
        <v>ein</v>
      </c>
      <c r="AG43" s="187"/>
      <c r="AH43" s="212"/>
      <c r="AI43" s="213"/>
      <c r="AJ43" s="208"/>
      <c r="AK43" s="208"/>
      <c r="AL43" s="208"/>
      <c r="AM43" s="207"/>
      <c r="AN43" s="208"/>
      <c r="AO43" s="208"/>
      <c r="AP43" s="118"/>
    </row>
    <row r="44" spans="1:42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204" t="str">
        <f t="shared" si="8"/>
        <v>aus</v>
      </c>
      <c r="AG44" s="187"/>
      <c r="AH44" s="212"/>
      <c r="AI44" s="213"/>
      <c r="AJ44" s="208"/>
      <c r="AK44" s="208"/>
      <c r="AL44" s="208"/>
      <c r="AM44" s="207"/>
      <c r="AN44" s="208"/>
      <c r="AO44" s="208"/>
      <c r="AP44" s="118"/>
    </row>
    <row r="45" spans="1:42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E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6" t="str">
        <f t="shared" si="8"/>
        <v>Total Pikett ein/aus</v>
      </c>
      <c r="AG45" s="217"/>
      <c r="AH45" s="218">
        <f>SUM(B45:AE45)</f>
        <v>0</v>
      </c>
      <c r="AI45" s="213"/>
      <c r="AJ45" s="208"/>
      <c r="AK45" s="208"/>
      <c r="AL45" s="208"/>
      <c r="AM45" s="207"/>
      <c r="AN45" s="208"/>
      <c r="AO45" s="208"/>
      <c r="AP45" s="118"/>
    </row>
    <row r="46" spans="1:42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04"/>
      <c r="AG46" s="187"/>
      <c r="AH46" s="212"/>
      <c r="AI46" s="213"/>
      <c r="AJ46" s="208"/>
      <c r="AK46" s="208"/>
      <c r="AL46" s="208"/>
      <c r="AM46" s="207"/>
      <c r="AN46" s="208"/>
      <c r="AO46" s="208"/>
      <c r="AP46" s="118"/>
    </row>
    <row r="47" spans="1:42" s="38" customFormat="1" ht="16.5" hidden="1" customHeight="1" outlineLevel="1" x14ac:dyDescent="0.2">
      <c r="A47" s="214" t="s">
        <v>222</v>
      </c>
      <c r="B47" s="215">
        <f t="shared" ref="B47:AE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6" t="str">
        <f>A47</f>
        <v>Total Pikettstunden heute</v>
      </c>
      <c r="AG47" s="187"/>
      <c r="AH47" s="212"/>
      <c r="AI47" s="213"/>
      <c r="AJ47" s="208"/>
      <c r="AK47" s="208"/>
      <c r="AL47" s="208"/>
      <c r="AM47" s="207"/>
      <c r="AN47" s="208"/>
      <c r="AO47" s="208"/>
      <c r="AP47" s="118"/>
    </row>
    <row r="48" spans="1:42" s="38" customFormat="1" ht="16.5" hidden="1" customHeight="1" outlineLevel="1" x14ac:dyDescent="0.2">
      <c r="A48" s="214" t="s">
        <v>223</v>
      </c>
      <c r="B48" s="224">
        <f t="shared" ref="B48:AE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16" t="str">
        <f>A48</f>
        <v>Total Pikettstunden gestern</v>
      </c>
      <c r="AG48" s="187"/>
      <c r="AH48" s="212"/>
      <c r="AI48" s="213"/>
      <c r="AJ48" s="208"/>
      <c r="AK48" s="208"/>
      <c r="AL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M48" s="207"/>
      <c r="AN48" s="208"/>
      <c r="AO48" s="208"/>
      <c r="AP48" s="118"/>
    </row>
    <row r="49" spans="1:42" s="38" customFormat="1" ht="16.5" hidden="1" customHeight="1" outlineLevel="1" x14ac:dyDescent="0.2">
      <c r="A49" s="214" t="s">
        <v>219</v>
      </c>
      <c r="B49" s="215">
        <f t="shared" ref="B49:AE49" ca="1" si="12">B47+IF(B$10=EOMONTH(B$10,0),$AL48,OFFSET(B48,0,1))</f>
        <v>0</v>
      </c>
      <c r="C49" s="215">
        <f t="shared" ca="1" si="12"/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6" t="str">
        <f>A49</f>
        <v>Total Pikettdienststunden</v>
      </c>
      <c r="AG49" s="217"/>
      <c r="AH49" s="218">
        <f ca="1">SUM(B49:AE49)</f>
        <v>0</v>
      </c>
      <c r="AI49" s="213"/>
      <c r="AJ49" s="208"/>
      <c r="AK49" s="208"/>
      <c r="AL49" s="208"/>
      <c r="AM49" s="207"/>
      <c r="AN49" s="208"/>
      <c r="AO49" s="208"/>
      <c r="AP49" s="118"/>
    </row>
    <row r="50" spans="1:42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31"/>
      <c r="AG50" s="232"/>
      <c r="AH50" s="221"/>
      <c r="AI50" s="213"/>
      <c r="AJ50" s="208"/>
      <c r="AK50" s="208"/>
      <c r="AL50" s="208"/>
      <c r="AM50" s="207"/>
      <c r="AN50" s="208"/>
      <c r="AO50" s="208"/>
      <c r="AP50" s="118"/>
    </row>
    <row r="51" spans="1:42" s="38" customFormat="1" ht="15" customHeight="1" x14ac:dyDescent="0.2">
      <c r="A51" s="214" t="s">
        <v>109</v>
      </c>
      <c r="B51" s="233">
        <f t="shared" ref="B51:AE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16" t="str">
        <f t="shared" ref="AF51:AF56" si="14">A51</f>
        <v>Arbeitszeit IST</v>
      </c>
      <c r="AG51" s="217"/>
      <c r="AH51" s="237">
        <f>SUM(B51:AE51)</f>
        <v>0</v>
      </c>
      <c r="AI51" s="213"/>
      <c r="AJ51" s="208" t="str">
        <f>IF(T.MedizinischeMikrobiologie,Monat.ZZSND.Total,"")</f>
        <v/>
      </c>
      <c r="AK51" s="208"/>
      <c r="AL51" s="208"/>
      <c r="AM51" s="208" t="str">
        <f>IF(T.MedizinischeMikrobiologie,SUM(AH51,AJ51),"")</f>
        <v/>
      </c>
      <c r="AN51" s="208"/>
      <c r="AO51" s="208"/>
      <c r="AP51" s="118"/>
    </row>
    <row r="52" spans="1:42" s="38" customFormat="1" ht="15" customHeight="1" outlineLevel="1" x14ac:dyDescent="0.2">
      <c r="A52" s="211" t="s">
        <v>197</v>
      </c>
      <c r="B52" s="78">
        <f t="shared" ref="B52:AE52" ca="1" si="15">IF(B$12=0,0,ROUND(INDEX(Monat.RAZ1_7.Bereich,WEEKDAY(B$10,2))*B$11*1440,0)/1440)</f>
        <v>0.35</v>
      </c>
      <c r="C52" s="78">
        <f t="shared" ca="1" si="15"/>
        <v>0.35</v>
      </c>
      <c r="D52" s="79">
        <f t="shared" ca="1" si="15"/>
        <v>0.35</v>
      </c>
      <c r="E52" s="78">
        <f t="shared" ca="1" si="15"/>
        <v>0</v>
      </c>
      <c r="F52" s="79">
        <f t="shared" ca="1" si="15"/>
        <v>0</v>
      </c>
      <c r="G52" s="79">
        <f t="shared" ca="1" si="15"/>
        <v>0</v>
      </c>
      <c r="H52" s="79">
        <f t="shared" ca="1" si="15"/>
        <v>0.35</v>
      </c>
      <c r="I52" s="79">
        <f t="shared" ca="1" si="15"/>
        <v>0.35</v>
      </c>
      <c r="J52" s="78">
        <f t="shared" ca="1" si="15"/>
        <v>0.35</v>
      </c>
      <c r="K52" s="79">
        <f t="shared" ca="1" si="15"/>
        <v>0.35</v>
      </c>
      <c r="L52" s="78">
        <f t="shared" ca="1" si="15"/>
        <v>0</v>
      </c>
      <c r="M52" s="79">
        <f t="shared" ca="1" si="15"/>
        <v>0</v>
      </c>
      <c r="N52" s="79">
        <f t="shared" ca="1" si="15"/>
        <v>0.35</v>
      </c>
      <c r="O52" s="79">
        <f t="shared" ca="1" si="15"/>
        <v>0.35</v>
      </c>
      <c r="P52" s="79">
        <f t="shared" ca="1" si="15"/>
        <v>0.35</v>
      </c>
      <c r="Q52" s="78">
        <f t="shared" ca="1" si="15"/>
        <v>0.35</v>
      </c>
      <c r="R52" s="79">
        <f t="shared" ca="1" si="15"/>
        <v>0.35</v>
      </c>
      <c r="S52" s="78">
        <f t="shared" ca="1" si="15"/>
        <v>0</v>
      </c>
      <c r="T52" s="78">
        <f t="shared" ca="1" si="15"/>
        <v>0</v>
      </c>
      <c r="U52" s="79">
        <f t="shared" ca="1" si="15"/>
        <v>0.35</v>
      </c>
      <c r="V52" s="79">
        <f t="shared" ca="1" si="15"/>
        <v>0.35</v>
      </c>
      <c r="W52" s="79">
        <f t="shared" ca="1" si="15"/>
        <v>0.35</v>
      </c>
      <c r="X52" s="78">
        <f t="shared" ca="1" si="15"/>
        <v>0.35</v>
      </c>
      <c r="Y52" s="79">
        <f t="shared" ca="1" si="15"/>
        <v>0.35</v>
      </c>
      <c r="Z52" s="80">
        <f t="shared" ca="1" si="15"/>
        <v>0</v>
      </c>
      <c r="AA52" s="79">
        <f t="shared" ca="1" si="15"/>
        <v>0</v>
      </c>
      <c r="AB52" s="79">
        <f t="shared" ca="1" si="15"/>
        <v>0.35</v>
      </c>
      <c r="AC52" s="79">
        <f t="shared" ca="1" si="15"/>
        <v>0.35</v>
      </c>
      <c r="AD52" s="79">
        <f t="shared" ca="1" si="15"/>
        <v>0.35</v>
      </c>
      <c r="AE52" s="78">
        <f t="shared" ca="1" si="15"/>
        <v>0.35</v>
      </c>
      <c r="AF52" s="238" t="str">
        <f t="shared" si="14"/>
        <v>Regelarbeitszeit (Info)</v>
      </c>
      <c r="AG52" s="217"/>
      <c r="AH52" s="212"/>
      <c r="AI52" s="213"/>
      <c r="AJ52" s="208"/>
      <c r="AK52" s="208"/>
      <c r="AL52" s="208"/>
      <c r="AM52" s="207"/>
      <c r="AN52" s="208"/>
      <c r="AO52" s="208"/>
      <c r="AP52" s="118"/>
    </row>
    <row r="53" spans="1:42" s="38" customFormat="1" ht="15" customHeight="1" x14ac:dyDescent="0.2">
      <c r="A53" s="211" t="s">
        <v>155</v>
      </c>
      <c r="B53" s="239">
        <f t="shared" ref="B53:AE53" ca="1" si="16">IF(B$12=0,0,ROUND(INDEX(EB.AZSOLLTag100.Bereich,MATCH(INDEX(EB.Monate.Bereich,MONTH(Monat.Tag1)),EB.Monate.Bereich,0))*B$11*IF(WEEKDAY(B$10,2)&gt;5,0,1)*$V$2/100*1440,0)/1440)</f>
        <v>0.35</v>
      </c>
      <c r="C53" s="239">
        <f t="shared" ca="1" si="16"/>
        <v>0.35</v>
      </c>
      <c r="D53" s="239">
        <f t="shared" ca="1" si="16"/>
        <v>0.35</v>
      </c>
      <c r="E53" s="239">
        <f t="shared" ca="1" si="16"/>
        <v>0</v>
      </c>
      <c r="F53" s="239">
        <f t="shared" ca="1" si="16"/>
        <v>0</v>
      </c>
      <c r="G53" s="239">
        <f t="shared" ca="1" si="16"/>
        <v>0</v>
      </c>
      <c r="H53" s="239">
        <f t="shared" ca="1" si="16"/>
        <v>0.35</v>
      </c>
      <c r="I53" s="239">
        <f t="shared" ca="1" si="16"/>
        <v>0.35</v>
      </c>
      <c r="J53" s="239">
        <f t="shared" ca="1" si="16"/>
        <v>0.35</v>
      </c>
      <c r="K53" s="239">
        <f t="shared" ca="1" si="16"/>
        <v>0.35</v>
      </c>
      <c r="L53" s="239">
        <f t="shared" ca="1" si="16"/>
        <v>0</v>
      </c>
      <c r="M53" s="239">
        <f t="shared" ca="1" si="16"/>
        <v>0</v>
      </c>
      <c r="N53" s="239">
        <f t="shared" ca="1" si="16"/>
        <v>0.35</v>
      </c>
      <c r="O53" s="239">
        <f t="shared" ca="1" si="16"/>
        <v>0.35</v>
      </c>
      <c r="P53" s="239">
        <f t="shared" ca="1" si="16"/>
        <v>0.35</v>
      </c>
      <c r="Q53" s="239">
        <f t="shared" ca="1" si="16"/>
        <v>0.35</v>
      </c>
      <c r="R53" s="239">
        <f t="shared" ca="1" si="16"/>
        <v>0.35</v>
      </c>
      <c r="S53" s="239">
        <f t="shared" ca="1" si="16"/>
        <v>0</v>
      </c>
      <c r="T53" s="239">
        <f t="shared" ca="1" si="16"/>
        <v>0</v>
      </c>
      <c r="U53" s="239">
        <f t="shared" ca="1" si="16"/>
        <v>0.35</v>
      </c>
      <c r="V53" s="239">
        <f t="shared" ca="1" si="16"/>
        <v>0.35</v>
      </c>
      <c r="W53" s="239">
        <f t="shared" ca="1" si="16"/>
        <v>0.35</v>
      </c>
      <c r="X53" s="239">
        <f t="shared" ca="1" si="16"/>
        <v>0.35</v>
      </c>
      <c r="Y53" s="239">
        <f t="shared" ca="1" si="16"/>
        <v>0.35</v>
      </c>
      <c r="Z53" s="239">
        <f t="shared" ca="1" si="16"/>
        <v>0</v>
      </c>
      <c r="AA53" s="239">
        <f t="shared" ca="1" si="16"/>
        <v>0</v>
      </c>
      <c r="AB53" s="239">
        <f t="shared" ca="1" si="16"/>
        <v>0.35</v>
      </c>
      <c r="AC53" s="239">
        <f t="shared" ca="1" si="16"/>
        <v>0.35</v>
      </c>
      <c r="AD53" s="239">
        <f t="shared" ca="1" si="16"/>
        <v>0.35</v>
      </c>
      <c r="AE53" s="239">
        <f t="shared" ca="1" si="16"/>
        <v>0.35</v>
      </c>
      <c r="AF53" s="204" t="str">
        <f t="shared" si="14"/>
        <v>Arbeitszeit SOLL gem. BG</v>
      </c>
      <c r="AG53" s="217"/>
      <c r="AH53" s="237">
        <f ca="1">SUM(B53:AE53)</f>
        <v>7.349999999999997</v>
      </c>
      <c r="AI53" s="213"/>
      <c r="AJ53" s="208"/>
      <c r="AK53" s="208"/>
      <c r="AL53" s="208"/>
      <c r="AM53" s="207"/>
      <c r="AN53" s="208"/>
      <c r="AO53" s="208"/>
      <c r="AP53" s="118"/>
    </row>
    <row r="54" spans="1:42" s="38" customFormat="1" ht="15" hidden="1" customHeight="1" outlineLevel="1" x14ac:dyDescent="0.2">
      <c r="A54" s="211" t="s">
        <v>143</v>
      </c>
      <c r="B54" s="239">
        <f t="shared" ref="B54:AE54" ca="1" si="17">ROUND(INDEX(EB.AZSOLLTag100.Bereich,MATCH(INDEX(EB.Monate.Bereich,MONTH(Monat.Tag1)),EB.Monate.Bereich,0))*B$11*IF(WEEKDAY(B$10,2)&gt;5,0,1)*1440,0)/1440</f>
        <v>0.35</v>
      </c>
      <c r="C54" s="239">
        <f t="shared" ca="1" si="17"/>
        <v>0.35</v>
      </c>
      <c r="D54" s="240">
        <f t="shared" ca="1" si="17"/>
        <v>0.35</v>
      </c>
      <c r="E54" s="239">
        <f t="shared" ca="1" si="17"/>
        <v>0</v>
      </c>
      <c r="F54" s="240">
        <f t="shared" ca="1" si="17"/>
        <v>0</v>
      </c>
      <c r="G54" s="240">
        <f t="shared" ca="1" si="17"/>
        <v>0</v>
      </c>
      <c r="H54" s="240">
        <f t="shared" ca="1" si="17"/>
        <v>0.35</v>
      </c>
      <c r="I54" s="240">
        <f t="shared" ca="1" si="17"/>
        <v>0.35</v>
      </c>
      <c r="J54" s="239">
        <f t="shared" ca="1" si="17"/>
        <v>0.35</v>
      </c>
      <c r="K54" s="240">
        <f t="shared" ca="1" si="17"/>
        <v>0.35</v>
      </c>
      <c r="L54" s="239">
        <f t="shared" ca="1" si="17"/>
        <v>0</v>
      </c>
      <c r="M54" s="240">
        <f t="shared" ca="1" si="17"/>
        <v>0</v>
      </c>
      <c r="N54" s="240">
        <f t="shared" ca="1" si="17"/>
        <v>0.35</v>
      </c>
      <c r="O54" s="240">
        <f t="shared" ca="1" si="17"/>
        <v>0.35</v>
      </c>
      <c r="P54" s="240">
        <f t="shared" ca="1" si="17"/>
        <v>0.35</v>
      </c>
      <c r="Q54" s="239">
        <f t="shared" ca="1" si="17"/>
        <v>0.35</v>
      </c>
      <c r="R54" s="240">
        <f t="shared" ca="1" si="17"/>
        <v>0.35</v>
      </c>
      <c r="S54" s="239">
        <f t="shared" ca="1" si="17"/>
        <v>0</v>
      </c>
      <c r="T54" s="239">
        <f t="shared" ca="1" si="17"/>
        <v>0</v>
      </c>
      <c r="U54" s="240">
        <f t="shared" ca="1" si="17"/>
        <v>0.35</v>
      </c>
      <c r="V54" s="240">
        <f t="shared" ca="1" si="17"/>
        <v>0.35</v>
      </c>
      <c r="W54" s="240">
        <f t="shared" ca="1" si="17"/>
        <v>0.35</v>
      </c>
      <c r="X54" s="239">
        <f t="shared" ca="1" si="17"/>
        <v>0.35</v>
      </c>
      <c r="Y54" s="240">
        <f t="shared" ca="1" si="17"/>
        <v>0.35</v>
      </c>
      <c r="Z54" s="241">
        <f t="shared" ca="1" si="17"/>
        <v>0</v>
      </c>
      <c r="AA54" s="240">
        <f t="shared" ca="1" si="17"/>
        <v>0</v>
      </c>
      <c r="AB54" s="240">
        <f t="shared" ca="1" si="17"/>
        <v>0.35</v>
      </c>
      <c r="AC54" s="240">
        <f t="shared" ca="1" si="17"/>
        <v>0.35</v>
      </c>
      <c r="AD54" s="240">
        <f t="shared" ca="1" si="17"/>
        <v>0.35</v>
      </c>
      <c r="AE54" s="239">
        <f t="shared" ca="1" si="17"/>
        <v>0.35</v>
      </c>
      <c r="AF54" s="204" t="str">
        <f t="shared" si="14"/>
        <v>Arbeitszeit SOLL 100%</v>
      </c>
      <c r="AG54" s="217"/>
      <c r="AH54" s="237">
        <f ca="1">SUM(B54:AE54)</f>
        <v>7.349999999999997</v>
      </c>
      <c r="AI54" s="213"/>
      <c r="AJ54" s="208"/>
      <c r="AK54" s="208"/>
      <c r="AL54" s="208"/>
      <c r="AM54" s="207"/>
      <c r="AN54" s="208"/>
      <c r="AO54" s="208"/>
      <c r="AP54" s="118"/>
    </row>
    <row r="55" spans="1:42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E55" ca="1" si="18">ROUND((C51-C53)*1440,0)/1440</f>
        <v>-0.35</v>
      </c>
      <c r="D55" s="233">
        <f t="shared" ca="1" si="18"/>
        <v>-0.35</v>
      </c>
      <c r="E55" s="235">
        <f t="shared" ca="1" si="18"/>
        <v>0</v>
      </c>
      <c r="F55" s="233">
        <f t="shared" ca="1" si="18"/>
        <v>0</v>
      </c>
      <c r="G55" s="233">
        <f t="shared" ca="1" si="18"/>
        <v>0</v>
      </c>
      <c r="H55" s="233">
        <f t="shared" ca="1" si="18"/>
        <v>-0.35</v>
      </c>
      <c r="I55" s="233">
        <f t="shared" ca="1" si="18"/>
        <v>-0.35</v>
      </c>
      <c r="J55" s="235">
        <f t="shared" ca="1" si="18"/>
        <v>-0.35</v>
      </c>
      <c r="K55" s="233">
        <f t="shared" ca="1" si="18"/>
        <v>-0.35</v>
      </c>
      <c r="L55" s="235">
        <f t="shared" ca="1" si="18"/>
        <v>0</v>
      </c>
      <c r="M55" s="233">
        <f t="shared" ca="1" si="18"/>
        <v>0</v>
      </c>
      <c r="N55" s="233">
        <f t="shared" ca="1" si="18"/>
        <v>-0.35</v>
      </c>
      <c r="O55" s="233">
        <f t="shared" ca="1" si="18"/>
        <v>-0.35</v>
      </c>
      <c r="P55" s="233">
        <f t="shared" ca="1" si="18"/>
        <v>-0.35</v>
      </c>
      <c r="Q55" s="235">
        <f t="shared" ca="1" si="18"/>
        <v>-0.35</v>
      </c>
      <c r="R55" s="233">
        <f t="shared" ca="1" si="18"/>
        <v>-0.35</v>
      </c>
      <c r="S55" s="235">
        <f t="shared" ca="1" si="18"/>
        <v>0</v>
      </c>
      <c r="T55" s="235">
        <f t="shared" ca="1" si="18"/>
        <v>0</v>
      </c>
      <c r="U55" s="233">
        <f t="shared" ca="1" si="18"/>
        <v>-0.35</v>
      </c>
      <c r="V55" s="233">
        <f t="shared" ca="1" si="18"/>
        <v>-0.35</v>
      </c>
      <c r="W55" s="233">
        <f t="shared" ca="1" si="18"/>
        <v>-0.35</v>
      </c>
      <c r="X55" s="235">
        <f t="shared" ca="1" si="18"/>
        <v>-0.35</v>
      </c>
      <c r="Y55" s="233">
        <f t="shared" ca="1" si="18"/>
        <v>-0.35</v>
      </c>
      <c r="Z55" s="236">
        <f t="shared" ca="1" si="18"/>
        <v>0</v>
      </c>
      <c r="AA55" s="233">
        <f t="shared" ca="1" si="18"/>
        <v>0</v>
      </c>
      <c r="AB55" s="233">
        <f t="shared" ca="1" si="18"/>
        <v>-0.35</v>
      </c>
      <c r="AC55" s="233">
        <f t="shared" ca="1" si="18"/>
        <v>-0.35</v>
      </c>
      <c r="AD55" s="233">
        <f t="shared" ca="1" si="18"/>
        <v>-0.35</v>
      </c>
      <c r="AE55" s="235">
        <f t="shared" ca="1" si="18"/>
        <v>-0.35</v>
      </c>
      <c r="AF55" s="204" t="str">
        <f t="shared" si="14"/>
        <v>+/- SOLL/IST täglich</v>
      </c>
      <c r="AG55" s="217"/>
      <c r="AH55" s="237">
        <f ca="1">SUM(B55:AE55)</f>
        <v>-7.349999999999997</v>
      </c>
      <c r="AI55" s="213"/>
      <c r="AJ55" s="208"/>
      <c r="AK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-7.2499999999999973</v>
      </c>
      <c r="AL55" s="208"/>
      <c r="AM55" s="244">
        <f ca="1">IF(AG57="+",(AH55+AH57),(AH55-AH57))</f>
        <v>-7.349999999999997</v>
      </c>
      <c r="AN55" s="244">
        <f ca="1">SUM(OFFSET(J.AZSaldo.Total,-12,0,MONTH(Monat.Tag1),1))</f>
        <v>-43.374999999999986</v>
      </c>
      <c r="AO55" s="244">
        <f ca="1">J.AZSaldo.Total</f>
        <v>-88.349999999999966</v>
      </c>
      <c r="AP55" s="118"/>
    </row>
    <row r="56" spans="1:42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04" t="str">
        <f t="shared" si="14"/>
        <v>aktuelle Mehr-/Minusstunden</v>
      </c>
      <c r="AG56" s="217"/>
      <c r="AH56" s="237">
        <f ca="1">OFFSET(B56,0,DAY(EOMONTH(Monat.Tag1,0))-1,1,1)</f>
        <v>0</v>
      </c>
      <c r="AI56" s="213"/>
      <c r="AJ56" s="208"/>
      <c r="AK56" s="208"/>
      <c r="AL56" s="208"/>
      <c r="AM56" s="207"/>
      <c r="AN56" s="208"/>
      <c r="AO56" s="208"/>
      <c r="AP56" s="118"/>
    </row>
    <row r="57" spans="1:42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11" t="s">
        <v>140</v>
      </c>
      <c r="AG57" s="43" t="s">
        <v>27</v>
      </c>
      <c r="AH57" s="73"/>
      <c r="AI57" s="253"/>
      <c r="AJ57" s="254"/>
      <c r="AK57" s="208"/>
      <c r="AL57" s="208"/>
      <c r="AM57" s="207"/>
      <c r="AN57" s="255"/>
      <c r="AO57" s="255"/>
      <c r="AP57" s="162"/>
    </row>
    <row r="58" spans="1:42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8" t="s">
        <v>230</v>
      </c>
      <c r="AG58" s="217"/>
      <c r="AH58" s="237">
        <f ca="1">IF(AG57="+",(Monat.ZUeZ.Total+AH57),(Monat.ZUeZ.Total-AH57))</f>
        <v>0</v>
      </c>
      <c r="AI58" s="259"/>
      <c r="AJ58" s="260"/>
      <c r="AK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L58" s="208"/>
      <c r="AM58" s="244">
        <f ca="1">AH58</f>
        <v>0</v>
      </c>
      <c r="AN58" s="208"/>
      <c r="AO58" s="208"/>
      <c r="AP58" s="130"/>
    </row>
    <row r="59" spans="1:42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04"/>
      <c r="AG59" s="187"/>
      <c r="AH59" s="212"/>
      <c r="AI59" s="213"/>
      <c r="AJ59" s="208"/>
      <c r="AK59" s="208"/>
      <c r="AL59" s="208"/>
      <c r="AM59" s="207"/>
      <c r="AN59" s="208"/>
      <c r="AO59" s="208"/>
      <c r="AP59" s="118"/>
    </row>
    <row r="60" spans="1:42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04" t="str">
        <f>A60</f>
        <v>Angeordnete ÜZ</v>
      </c>
      <c r="AG60" s="217"/>
      <c r="AH60" s="237">
        <f ca="1">SUM(B60:AE60)</f>
        <v>0</v>
      </c>
      <c r="AI60" s="213"/>
      <c r="AJ60" s="208"/>
      <c r="AK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L60" s="208"/>
      <c r="AM60" s="244">
        <f ca="1">AH60+AK60</f>
        <v>0</v>
      </c>
      <c r="AN60" s="244">
        <f ca="1">SUM(OFFSET(Jahr.AngÜZ,-12,0,MONTH(Monat.Tag1),1))</f>
        <v>0</v>
      </c>
      <c r="AO60" s="244">
        <f ca="1">Jahr.AngÜZ</f>
        <v>0</v>
      </c>
      <c r="AP60" s="118"/>
    </row>
    <row r="61" spans="1:42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04" t="str">
        <f>A61</f>
        <v>Kompensation ÜZ</v>
      </c>
      <c r="AG61" s="217"/>
      <c r="AH61" s="237">
        <f>SUM(B61:AE61)</f>
        <v>0</v>
      </c>
      <c r="AI61" s="213"/>
      <c r="AJ61" s="208"/>
      <c r="AK61" s="208"/>
      <c r="AL61" s="208"/>
      <c r="AM61" s="207"/>
      <c r="AN61" s="208"/>
      <c r="AO61" s="208"/>
      <c r="AP61" s="118"/>
    </row>
    <row r="62" spans="1:42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5" t="s">
        <v>231</v>
      </c>
      <c r="AG62" s="266"/>
      <c r="AH62" s="237">
        <f ca="1">Monat.AnUeZ.Total-Monat.KomUeZ.Total</f>
        <v>0</v>
      </c>
      <c r="AI62" s="213"/>
      <c r="AJ62" s="255"/>
      <c r="AK62" s="255"/>
      <c r="AL62" s="208"/>
      <c r="AM62" s="255"/>
      <c r="AN62" s="255"/>
      <c r="AO62" s="255"/>
      <c r="AP62" s="162"/>
    </row>
    <row r="63" spans="1:42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11" t="s">
        <v>47</v>
      </c>
      <c r="AG63" s="217"/>
      <c r="AH63" s="237">
        <f ca="1">IF(T.50_Vetsuisse,0,IF(AND(AH62&gt;0,Monat.ÜZZSBerechtigt=INDEX(T.JaNein.Bereich,1,1)),ROUND(AH62*0.25*1440,0)/1440,0))</f>
        <v>0</v>
      </c>
      <c r="AI63" s="213"/>
      <c r="AJ63" s="208"/>
      <c r="AK63" s="255"/>
      <c r="AL63" s="208"/>
      <c r="AM63" s="255"/>
      <c r="AN63" s="255"/>
      <c r="AO63" s="255"/>
      <c r="AP63" s="118"/>
    </row>
    <row r="64" spans="1:42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11" t="s">
        <v>248</v>
      </c>
      <c r="AG64" s="45" t="s">
        <v>27</v>
      </c>
      <c r="AH64" s="46"/>
      <c r="AI64" s="268"/>
      <c r="AJ64" s="208"/>
      <c r="AK64" s="255"/>
      <c r="AL64" s="208"/>
      <c r="AM64" s="255"/>
      <c r="AN64" s="255"/>
      <c r="AO64" s="255"/>
      <c r="AP64" s="118"/>
    </row>
    <row r="65" spans="1:42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58" t="s">
        <v>72</v>
      </c>
      <c r="AG65" s="266"/>
      <c r="AH65" s="237">
        <f ca="1">IF(AG64="+",(AH62+AH63+AH64),(AH62+AH63-AH64))</f>
        <v>0</v>
      </c>
      <c r="AI65" s="259"/>
      <c r="AJ65" s="269"/>
      <c r="AK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L65" s="208"/>
      <c r="AM65" s="244">
        <f ca="1">AH65+AK65</f>
        <v>0</v>
      </c>
      <c r="AN65" s="244">
        <f ca="1">SUM(OFFSET(J.UeZ.Total,-12,0,MONTH(Monat.Tag1),1))</f>
        <v>0</v>
      </c>
      <c r="AO65" s="244">
        <f ca="1">J.UeZ.Total</f>
        <v>0</v>
      </c>
      <c r="AP65" s="162"/>
    </row>
    <row r="66" spans="1:42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0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0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0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0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0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0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0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0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0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211"/>
      <c r="AG66" s="187"/>
      <c r="AH66" s="212"/>
      <c r="AI66" s="213"/>
      <c r="AJ66" s="208"/>
      <c r="AK66" s="208"/>
      <c r="AL66" s="208"/>
      <c r="AM66" s="207"/>
      <c r="AN66" s="208"/>
      <c r="AO66" s="208"/>
      <c r="AP66" s="118"/>
    </row>
    <row r="67" spans="1:42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04" t="str">
        <f ca="1">A67 &amp; IFERROR(IF(SUMPRODUCT((B66:AE66=0)*(B67:AE67&gt;0))&gt;0," (!)",""),"")</f>
        <v>Kompensation AZ</v>
      </c>
      <c r="AG67" s="217"/>
      <c r="AH67" s="237">
        <f>SUM(B67:AE67)</f>
        <v>0</v>
      </c>
      <c r="AI67" s="259"/>
      <c r="AJ67" s="243">
        <f ca="1">OFFSET(EB.MKAStd.Knoten,MONTH(Monat.Tag1),0,1,1)</f>
        <v>0.4375</v>
      </c>
      <c r="AK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2.1875</v>
      </c>
      <c r="AL67" s="208"/>
      <c r="AM67" s="244">
        <f ca="1">AJ67+AK67-Monat.KomAZ.Total</f>
        <v>2.625</v>
      </c>
      <c r="AN67" s="244">
        <f ca="1">Jahresabrechnung!P12-SUM(OFFSET(Jahresabrechnung!P15,0,0,MONTH(Monat.Tag1),1))</f>
        <v>5.25</v>
      </c>
      <c r="AO67" s="244">
        <f ca="1">Jahresabrechnung!P28</f>
        <v>5.25</v>
      </c>
      <c r="AP67" s="118"/>
    </row>
    <row r="68" spans="1:42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204"/>
      <c r="AG68" s="187"/>
      <c r="AH68" s="212"/>
      <c r="AI68" s="213"/>
      <c r="AJ68" s="208"/>
      <c r="AK68" s="208"/>
      <c r="AL68" s="208"/>
      <c r="AM68" s="434">
        <f ca="1">IF(OFFSET(A68,0,DAY(EOMONTH(Monat.Tag1,0)))=0,0,1)</f>
        <v>1</v>
      </c>
      <c r="AN68" s="208"/>
      <c r="AO68" s="208"/>
      <c r="AP68" s="118"/>
    </row>
    <row r="69" spans="1:42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E69" ca="1" si="19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9"/>
        <v>0</v>
      </c>
      <c r="E69" s="271">
        <f t="shared" ca="1" si="19"/>
        <v>0</v>
      </c>
      <c r="F69" s="271">
        <f t="shared" ca="1" si="19"/>
        <v>0</v>
      </c>
      <c r="G69" s="271">
        <f t="shared" ca="1" si="19"/>
        <v>0</v>
      </c>
      <c r="H69" s="271">
        <f t="shared" ca="1" si="19"/>
        <v>0</v>
      </c>
      <c r="I69" s="271">
        <f t="shared" ca="1" si="19"/>
        <v>0</v>
      </c>
      <c r="J69" s="271">
        <f t="shared" ca="1" si="19"/>
        <v>0</v>
      </c>
      <c r="K69" s="271">
        <f t="shared" ca="1" si="19"/>
        <v>0</v>
      </c>
      <c r="L69" s="271">
        <f t="shared" ca="1" si="19"/>
        <v>0</v>
      </c>
      <c r="M69" s="271">
        <f t="shared" ca="1" si="19"/>
        <v>0</v>
      </c>
      <c r="N69" s="271">
        <f t="shared" ca="1" si="19"/>
        <v>0</v>
      </c>
      <c r="O69" s="271">
        <f t="shared" ca="1" si="19"/>
        <v>0</v>
      </c>
      <c r="P69" s="271">
        <f t="shared" ca="1" si="19"/>
        <v>0</v>
      </c>
      <c r="Q69" s="271">
        <f t="shared" ca="1" si="19"/>
        <v>0</v>
      </c>
      <c r="R69" s="271">
        <f t="shared" ca="1" si="19"/>
        <v>0</v>
      </c>
      <c r="S69" s="271">
        <f t="shared" ca="1" si="19"/>
        <v>0</v>
      </c>
      <c r="T69" s="271">
        <f t="shared" ca="1" si="19"/>
        <v>0</v>
      </c>
      <c r="U69" s="271">
        <f t="shared" ca="1" si="19"/>
        <v>0</v>
      </c>
      <c r="V69" s="271">
        <f t="shared" ca="1" si="19"/>
        <v>0</v>
      </c>
      <c r="W69" s="271">
        <f t="shared" ca="1" si="19"/>
        <v>0</v>
      </c>
      <c r="X69" s="271">
        <f t="shared" ca="1" si="19"/>
        <v>0</v>
      </c>
      <c r="Y69" s="271">
        <f t="shared" ca="1" si="19"/>
        <v>0</v>
      </c>
      <c r="Z69" s="271">
        <f t="shared" ca="1" si="19"/>
        <v>0</v>
      </c>
      <c r="AA69" s="271">
        <f t="shared" ca="1" si="19"/>
        <v>0</v>
      </c>
      <c r="AB69" s="271">
        <f t="shared" ca="1" si="19"/>
        <v>0</v>
      </c>
      <c r="AC69" s="271">
        <f t="shared" ca="1" si="19"/>
        <v>0</v>
      </c>
      <c r="AD69" s="271">
        <f t="shared" ca="1" si="19"/>
        <v>0</v>
      </c>
      <c r="AE69" s="271">
        <f t="shared" ca="1" si="19"/>
        <v>0</v>
      </c>
      <c r="AF69" s="204" t="str">
        <f>A69</f>
        <v>Zähler Nachtdienst</v>
      </c>
      <c r="AG69" s="272"/>
      <c r="AH69" s="273">
        <f ca="1">SUM(B69:AE69)</f>
        <v>0</v>
      </c>
      <c r="AI69" s="259"/>
      <c r="AJ69" s="223"/>
      <c r="AK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L69" s="208"/>
      <c r="AM69" s="275">
        <f ca="1">AK69+AH69</f>
        <v>0</v>
      </c>
      <c r="AN69" s="207"/>
      <c r="AO69" s="207"/>
      <c r="AP69" s="118"/>
    </row>
    <row r="70" spans="1:42" s="38" customFormat="1" ht="15" hidden="1" customHeight="1" x14ac:dyDescent="0.2">
      <c r="A70" s="211" t="s">
        <v>212</v>
      </c>
      <c r="B70" s="271">
        <f t="shared" ref="B70:AE70" ca="1" si="20">IF(DAY(B$10)=1,$AK$69,A70)+B69</f>
        <v>0</v>
      </c>
      <c r="C70" s="271">
        <f t="shared" ca="1" si="20"/>
        <v>0</v>
      </c>
      <c r="D70" s="271">
        <f t="shared" ca="1" si="20"/>
        <v>0</v>
      </c>
      <c r="E70" s="271">
        <f t="shared" ca="1" si="20"/>
        <v>0</v>
      </c>
      <c r="F70" s="271">
        <f t="shared" ca="1" si="20"/>
        <v>0</v>
      </c>
      <c r="G70" s="271">
        <f t="shared" ca="1" si="20"/>
        <v>0</v>
      </c>
      <c r="H70" s="271">
        <f t="shared" ca="1" si="20"/>
        <v>0</v>
      </c>
      <c r="I70" s="271">
        <f t="shared" ca="1" si="20"/>
        <v>0</v>
      </c>
      <c r="J70" s="271">
        <f t="shared" ca="1" si="20"/>
        <v>0</v>
      </c>
      <c r="K70" s="271">
        <f t="shared" ca="1" si="20"/>
        <v>0</v>
      </c>
      <c r="L70" s="271">
        <f t="shared" ca="1" si="20"/>
        <v>0</v>
      </c>
      <c r="M70" s="271">
        <f t="shared" ca="1" si="20"/>
        <v>0</v>
      </c>
      <c r="N70" s="271">
        <f t="shared" ca="1" si="20"/>
        <v>0</v>
      </c>
      <c r="O70" s="271">
        <f t="shared" ca="1" si="20"/>
        <v>0</v>
      </c>
      <c r="P70" s="271">
        <f t="shared" ca="1" si="20"/>
        <v>0</v>
      </c>
      <c r="Q70" s="271">
        <f t="shared" ca="1" si="20"/>
        <v>0</v>
      </c>
      <c r="R70" s="271">
        <f t="shared" ca="1" si="20"/>
        <v>0</v>
      </c>
      <c r="S70" s="271">
        <f t="shared" ca="1" si="20"/>
        <v>0</v>
      </c>
      <c r="T70" s="271">
        <f t="shared" ca="1" si="20"/>
        <v>0</v>
      </c>
      <c r="U70" s="271">
        <f t="shared" ca="1" si="20"/>
        <v>0</v>
      </c>
      <c r="V70" s="271">
        <f t="shared" ca="1" si="20"/>
        <v>0</v>
      </c>
      <c r="W70" s="271">
        <f t="shared" ca="1" si="20"/>
        <v>0</v>
      </c>
      <c r="X70" s="271">
        <f t="shared" ca="1" si="20"/>
        <v>0</v>
      </c>
      <c r="Y70" s="271">
        <f t="shared" ca="1" si="20"/>
        <v>0</v>
      </c>
      <c r="Z70" s="271">
        <f t="shared" ca="1" si="20"/>
        <v>0</v>
      </c>
      <c r="AA70" s="271">
        <f t="shared" ca="1" si="20"/>
        <v>0</v>
      </c>
      <c r="AB70" s="271">
        <f t="shared" ca="1" si="20"/>
        <v>0</v>
      </c>
      <c r="AC70" s="271">
        <f t="shared" ca="1" si="20"/>
        <v>0</v>
      </c>
      <c r="AD70" s="271">
        <f t="shared" ca="1" si="20"/>
        <v>0</v>
      </c>
      <c r="AE70" s="271">
        <f t="shared" ca="1" si="20"/>
        <v>0</v>
      </c>
      <c r="AF70" s="204" t="str">
        <f>A70</f>
        <v>Saldo Zähler Nachtdienst</v>
      </c>
      <c r="AG70" s="227"/>
      <c r="AH70" s="223"/>
      <c r="AI70" s="276"/>
      <c r="AJ70" s="260"/>
      <c r="AK70" s="260"/>
      <c r="AL70" s="208"/>
      <c r="AM70" s="277"/>
      <c r="AN70" s="207"/>
      <c r="AO70" s="207"/>
      <c r="AP70" s="118"/>
    </row>
    <row r="71" spans="1:42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204" t="str">
        <f>A71</f>
        <v>Kompensation ZZS Nachtdienst</v>
      </c>
      <c r="AG71" s="217"/>
      <c r="AH71" s="237">
        <f>SUM(B71:AE71)</f>
        <v>0</v>
      </c>
      <c r="AI71" s="259"/>
      <c r="AJ71" s="260"/>
      <c r="AK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L71" s="208"/>
      <c r="AM71" s="244">
        <f ca="1">AH71+AK71</f>
        <v>0</v>
      </c>
      <c r="AN71" s="244">
        <f ca="1">SUM(OFFSET(Jahr.KompZZSND,-12,0,MONTH(Monat.Tag1),1))</f>
        <v>0</v>
      </c>
      <c r="AO71" s="244">
        <f ca="1">Jahr.KompZZSND</f>
        <v>0</v>
      </c>
      <c r="AP71" s="118"/>
    </row>
    <row r="72" spans="1:42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204" t="str">
        <f>A72</f>
        <v>Start Gepl. Nachtdienst Ja/Nein</v>
      </c>
      <c r="AG72" s="217"/>
      <c r="AH72" s="223"/>
      <c r="AI72" s="228">
        <f ca="1">IFERROR(SUMPRODUCT((B72:AE72=INDEX(T.JaNein.Bereich,1))*(B72:AE72&lt;&gt;"")),0)</f>
        <v>0</v>
      </c>
      <c r="AJ72" s="260"/>
      <c r="AK72" s="228">
        <f ca="1">AK69</f>
        <v>0</v>
      </c>
      <c r="AL72" s="208"/>
      <c r="AM72" s="275">
        <f ca="1">AM69</f>
        <v>0</v>
      </c>
      <c r="AN72" s="208"/>
      <c r="AO72" s="208"/>
      <c r="AP72" s="118"/>
    </row>
    <row r="73" spans="1:42" s="38" customFormat="1" ht="15" customHeight="1" outlineLevel="1" x14ac:dyDescent="0.2">
      <c r="A73" s="211" t="s">
        <v>77</v>
      </c>
      <c r="B73" s="278">
        <f t="shared" ref="B73:AE73" ca="1" si="21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1"/>
        <v>0</v>
      </c>
      <c r="D73" s="278">
        <f t="shared" ca="1" si="21"/>
        <v>0</v>
      </c>
      <c r="E73" s="278">
        <f t="shared" ca="1" si="21"/>
        <v>0</v>
      </c>
      <c r="F73" s="278">
        <f t="shared" ca="1" si="21"/>
        <v>0</v>
      </c>
      <c r="G73" s="278">
        <f t="shared" ca="1" si="21"/>
        <v>0</v>
      </c>
      <c r="H73" s="278">
        <f t="shared" ca="1" si="21"/>
        <v>0</v>
      </c>
      <c r="I73" s="278">
        <f t="shared" ca="1" si="21"/>
        <v>0</v>
      </c>
      <c r="J73" s="278">
        <f t="shared" ca="1" si="21"/>
        <v>0</v>
      </c>
      <c r="K73" s="278">
        <f t="shared" ca="1" si="21"/>
        <v>0</v>
      </c>
      <c r="L73" s="278">
        <f t="shared" ca="1" si="21"/>
        <v>0</v>
      </c>
      <c r="M73" s="278">
        <f t="shared" ca="1" si="21"/>
        <v>0</v>
      </c>
      <c r="N73" s="278">
        <f t="shared" ca="1" si="21"/>
        <v>0</v>
      </c>
      <c r="O73" s="278">
        <f t="shared" ca="1" si="21"/>
        <v>0</v>
      </c>
      <c r="P73" s="278">
        <f t="shared" ca="1" si="21"/>
        <v>0</v>
      </c>
      <c r="Q73" s="278">
        <f t="shared" ca="1" si="21"/>
        <v>0</v>
      </c>
      <c r="R73" s="278">
        <f t="shared" ca="1" si="21"/>
        <v>0</v>
      </c>
      <c r="S73" s="278">
        <f t="shared" ca="1" si="21"/>
        <v>0</v>
      </c>
      <c r="T73" s="278">
        <f t="shared" ca="1" si="21"/>
        <v>0</v>
      </c>
      <c r="U73" s="278">
        <f t="shared" ca="1" si="21"/>
        <v>0</v>
      </c>
      <c r="V73" s="278">
        <f t="shared" ca="1" si="21"/>
        <v>0</v>
      </c>
      <c r="W73" s="278">
        <f t="shared" ca="1" si="21"/>
        <v>0</v>
      </c>
      <c r="X73" s="278">
        <f t="shared" ca="1" si="21"/>
        <v>0</v>
      </c>
      <c r="Y73" s="278">
        <f t="shared" ca="1" si="21"/>
        <v>0</v>
      </c>
      <c r="Z73" s="278">
        <f t="shared" ca="1" si="21"/>
        <v>0</v>
      </c>
      <c r="AA73" s="278">
        <f t="shared" ca="1" si="21"/>
        <v>0</v>
      </c>
      <c r="AB73" s="278">
        <f t="shared" ca="1" si="21"/>
        <v>0</v>
      </c>
      <c r="AC73" s="278">
        <f t="shared" ca="1" si="21"/>
        <v>0</v>
      </c>
      <c r="AD73" s="278">
        <f t="shared" ca="1" si="21"/>
        <v>0</v>
      </c>
      <c r="AE73" s="278">
        <f t="shared" ca="1" si="21"/>
        <v>0</v>
      </c>
      <c r="AF73" s="204" t="str">
        <f>A73</f>
        <v>Nachtdienst</v>
      </c>
      <c r="AG73" s="227"/>
      <c r="AH73" s="237">
        <f ca="1">SUM(B73:AE73)</f>
        <v>0</v>
      </c>
      <c r="AI73" s="228">
        <f ca="1">IF(OR(T.50_Vetsuisse,T.ServiceCenterIrchel),AH69,
IFERROR(SUMPRODUCT((B77:AE77&gt;0)*(B77:AE77&lt;&gt;"")),0))</f>
        <v>0</v>
      </c>
      <c r="AJ73" s="223"/>
      <c r="AK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L73" s="208"/>
      <c r="AM73" s="244">
        <f ca="1">AH73+AK73</f>
        <v>0</v>
      </c>
      <c r="AN73" s="207"/>
      <c r="AO73" s="207"/>
      <c r="AP73" s="118"/>
    </row>
    <row r="74" spans="1:42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04"/>
      <c r="AG74" s="187"/>
      <c r="AH74" s="212"/>
      <c r="AI74" s="213"/>
      <c r="AJ74" s="208"/>
      <c r="AK74" s="208"/>
      <c r="AL74" s="208"/>
      <c r="AM74" s="207"/>
      <c r="AN74" s="208"/>
      <c r="AO74" s="208"/>
      <c r="AP74" s="118"/>
    </row>
    <row r="75" spans="1:42" s="38" customFormat="1" ht="16.5" hidden="1" customHeight="1" outlineLevel="1" x14ac:dyDescent="0.2">
      <c r="A75" s="214" t="s">
        <v>245</v>
      </c>
      <c r="B75" s="215">
        <f t="shared" ref="B75:AE75" ca="1" si="22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2"/>
        <v>0</v>
      </c>
      <c r="D75" s="215">
        <f t="shared" ca="1" si="22"/>
        <v>0</v>
      </c>
      <c r="E75" s="215">
        <f t="shared" ca="1" si="22"/>
        <v>0</v>
      </c>
      <c r="F75" s="215">
        <f t="shared" ca="1" si="22"/>
        <v>0</v>
      </c>
      <c r="G75" s="215">
        <f t="shared" ca="1" si="22"/>
        <v>0</v>
      </c>
      <c r="H75" s="215">
        <f t="shared" ca="1" si="22"/>
        <v>0</v>
      </c>
      <c r="I75" s="215">
        <f t="shared" ca="1" si="22"/>
        <v>0</v>
      </c>
      <c r="J75" s="215">
        <f t="shared" ca="1" si="22"/>
        <v>0</v>
      </c>
      <c r="K75" s="215">
        <f t="shared" ca="1" si="22"/>
        <v>0</v>
      </c>
      <c r="L75" s="215">
        <f t="shared" ca="1" si="22"/>
        <v>0</v>
      </c>
      <c r="M75" s="215">
        <f t="shared" ca="1" si="22"/>
        <v>0</v>
      </c>
      <c r="N75" s="215">
        <f t="shared" ca="1" si="22"/>
        <v>0</v>
      </c>
      <c r="O75" s="215">
        <f t="shared" ca="1" si="22"/>
        <v>0</v>
      </c>
      <c r="P75" s="215">
        <f t="shared" ca="1" si="22"/>
        <v>0</v>
      </c>
      <c r="Q75" s="215">
        <f t="shared" ca="1" si="22"/>
        <v>0</v>
      </c>
      <c r="R75" s="215">
        <f t="shared" ca="1" si="22"/>
        <v>0</v>
      </c>
      <c r="S75" s="215">
        <f t="shared" ca="1" si="22"/>
        <v>0</v>
      </c>
      <c r="T75" s="215">
        <f t="shared" ca="1" si="22"/>
        <v>0</v>
      </c>
      <c r="U75" s="215">
        <f t="shared" ca="1" si="22"/>
        <v>0</v>
      </c>
      <c r="V75" s="215">
        <f t="shared" ca="1" si="22"/>
        <v>0</v>
      </c>
      <c r="W75" s="215">
        <f t="shared" ca="1" si="22"/>
        <v>0</v>
      </c>
      <c r="X75" s="215">
        <f t="shared" ca="1" si="22"/>
        <v>0</v>
      </c>
      <c r="Y75" s="215">
        <f t="shared" ca="1" si="22"/>
        <v>0</v>
      </c>
      <c r="Z75" s="215">
        <f t="shared" ca="1" si="22"/>
        <v>0</v>
      </c>
      <c r="AA75" s="215">
        <f t="shared" ca="1" si="22"/>
        <v>0</v>
      </c>
      <c r="AB75" s="215">
        <f t="shared" ca="1" si="22"/>
        <v>0</v>
      </c>
      <c r="AC75" s="215">
        <f t="shared" ca="1" si="22"/>
        <v>0</v>
      </c>
      <c r="AD75" s="215">
        <f t="shared" ca="1" si="22"/>
        <v>0</v>
      </c>
      <c r="AE75" s="215">
        <f t="shared" ca="1" si="22"/>
        <v>0</v>
      </c>
      <c r="AF75" s="216" t="str">
        <f>A75</f>
        <v>Total ND Stunden heute</v>
      </c>
      <c r="AG75" s="187"/>
      <c r="AH75" s="212"/>
      <c r="AI75" s="213"/>
      <c r="AJ75" s="208"/>
      <c r="AK75" s="208"/>
      <c r="AL75" s="208"/>
      <c r="AM75" s="207"/>
      <c r="AN75" s="208"/>
      <c r="AO75" s="208"/>
      <c r="AP75" s="118"/>
    </row>
    <row r="76" spans="1:42" s="38" customFormat="1" ht="16.5" hidden="1" customHeight="1" outlineLevel="1" x14ac:dyDescent="0.2">
      <c r="A76" s="214" t="s">
        <v>246</v>
      </c>
      <c r="B76" s="224">
        <f t="shared" ref="B76:AE76" ca="1" si="23">B73-B75</f>
        <v>0</v>
      </c>
      <c r="C76" s="224">
        <f t="shared" ca="1" si="23"/>
        <v>0</v>
      </c>
      <c r="D76" s="224">
        <f t="shared" ca="1" si="23"/>
        <v>0</v>
      </c>
      <c r="E76" s="224">
        <f t="shared" ca="1" si="23"/>
        <v>0</v>
      </c>
      <c r="F76" s="224">
        <f t="shared" ca="1" si="23"/>
        <v>0</v>
      </c>
      <c r="G76" s="224">
        <f t="shared" ca="1" si="23"/>
        <v>0</v>
      </c>
      <c r="H76" s="224">
        <f t="shared" ca="1" si="23"/>
        <v>0</v>
      </c>
      <c r="I76" s="224">
        <f t="shared" ca="1" si="23"/>
        <v>0</v>
      </c>
      <c r="J76" s="224">
        <f t="shared" ca="1" si="23"/>
        <v>0</v>
      </c>
      <c r="K76" s="224">
        <f t="shared" ca="1" si="23"/>
        <v>0</v>
      </c>
      <c r="L76" s="224">
        <f t="shared" ca="1" si="23"/>
        <v>0</v>
      </c>
      <c r="M76" s="224">
        <f t="shared" ca="1" si="23"/>
        <v>0</v>
      </c>
      <c r="N76" s="224">
        <f t="shared" ca="1" si="23"/>
        <v>0</v>
      </c>
      <c r="O76" s="224">
        <f t="shared" ca="1" si="23"/>
        <v>0</v>
      </c>
      <c r="P76" s="224">
        <f t="shared" ca="1" si="23"/>
        <v>0</v>
      </c>
      <c r="Q76" s="224">
        <f t="shared" ca="1" si="23"/>
        <v>0</v>
      </c>
      <c r="R76" s="224">
        <f t="shared" ca="1" si="23"/>
        <v>0</v>
      </c>
      <c r="S76" s="224">
        <f t="shared" ca="1" si="23"/>
        <v>0</v>
      </c>
      <c r="T76" s="224">
        <f t="shared" ca="1" si="23"/>
        <v>0</v>
      </c>
      <c r="U76" s="224">
        <f t="shared" ca="1" si="23"/>
        <v>0</v>
      </c>
      <c r="V76" s="224">
        <f t="shared" ca="1" si="23"/>
        <v>0</v>
      </c>
      <c r="W76" s="224">
        <f t="shared" ca="1" si="23"/>
        <v>0</v>
      </c>
      <c r="X76" s="224">
        <f t="shared" ca="1" si="23"/>
        <v>0</v>
      </c>
      <c r="Y76" s="224">
        <f t="shared" ca="1" si="23"/>
        <v>0</v>
      </c>
      <c r="Z76" s="224">
        <f t="shared" ca="1" si="23"/>
        <v>0</v>
      </c>
      <c r="AA76" s="224">
        <f t="shared" ca="1" si="23"/>
        <v>0</v>
      </c>
      <c r="AB76" s="224">
        <f t="shared" ca="1" si="23"/>
        <v>0</v>
      </c>
      <c r="AC76" s="224">
        <f t="shared" ca="1" si="23"/>
        <v>0</v>
      </c>
      <c r="AD76" s="224">
        <f t="shared" ca="1" si="23"/>
        <v>0</v>
      </c>
      <c r="AE76" s="224">
        <f t="shared" ca="1" si="23"/>
        <v>0</v>
      </c>
      <c r="AF76" s="216" t="str">
        <f>A76</f>
        <v>Total ND Stunden gestern</v>
      </c>
      <c r="AG76" s="187"/>
      <c r="AH76" s="212"/>
      <c r="AI76" s="213"/>
      <c r="AJ76" s="208"/>
      <c r="AK76" s="208"/>
      <c r="AL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M76" s="207"/>
      <c r="AN76" s="208"/>
      <c r="AO76" s="208"/>
      <c r="AP76" s="118"/>
    </row>
    <row r="77" spans="1:42" s="38" customFormat="1" ht="16.5" hidden="1" customHeight="1" outlineLevel="1" x14ac:dyDescent="0.2">
      <c r="A77" s="214" t="s">
        <v>247</v>
      </c>
      <c r="B77" s="215">
        <f t="shared" ref="B77:AE77" ca="1" si="24">B75+IF(B$10=EOMONTH(B$10,0),$AL76,OFFSET(B76,0,1))</f>
        <v>0</v>
      </c>
      <c r="C77" s="215">
        <f t="shared" ca="1" si="24"/>
        <v>0</v>
      </c>
      <c r="D77" s="215">
        <f t="shared" ca="1" si="24"/>
        <v>0</v>
      </c>
      <c r="E77" s="215">
        <f t="shared" ca="1" si="24"/>
        <v>0</v>
      </c>
      <c r="F77" s="215">
        <f t="shared" ca="1" si="24"/>
        <v>0</v>
      </c>
      <c r="G77" s="215">
        <f t="shared" ca="1" si="24"/>
        <v>0</v>
      </c>
      <c r="H77" s="215">
        <f t="shared" ca="1" si="24"/>
        <v>0</v>
      </c>
      <c r="I77" s="215">
        <f t="shared" ca="1" si="24"/>
        <v>0</v>
      </c>
      <c r="J77" s="215">
        <f t="shared" ca="1" si="24"/>
        <v>0</v>
      </c>
      <c r="K77" s="215">
        <f t="shared" ca="1" si="24"/>
        <v>0</v>
      </c>
      <c r="L77" s="215">
        <f t="shared" ca="1" si="24"/>
        <v>0</v>
      </c>
      <c r="M77" s="215">
        <f t="shared" ca="1" si="24"/>
        <v>0</v>
      </c>
      <c r="N77" s="215">
        <f t="shared" ca="1" si="24"/>
        <v>0</v>
      </c>
      <c r="O77" s="215">
        <f t="shared" ca="1" si="24"/>
        <v>0</v>
      </c>
      <c r="P77" s="215">
        <f t="shared" ca="1" si="24"/>
        <v>0</v>
      </c>
      <c r="Q77" s="215">
        <f t="shared" ca="1" si="24"/>
        <v>0</v>
      </c>
      <c r="R77" s="215">
        <f t="shared" ca="1" si="24"/>
        <v>0</v>
      </c>
      <c r="S77" s="215">
        <f t="shared" ca="1" si="24"/>
        <v>0</v>
      </c>
      <c r="T77" s="215">
        <f t="shared" ca="1" si="24"/>
        <v>0</v>
      </c>
      <c r="U77" s="215">
        <f t="shared" ca="1" si="24"/>
        <v>0</v>
      </c>
      <c r="V77" s="215">
        <f t="shared" ca="1" si="24"/>
        <v>0</v>
      </c>
      <c r="W77" s="215">
        <f t="shared" ca="1" si="24"/>
        <v>0</v>
      </c>
      <c r="X77" s="215">
        <f t="shared" ca="1" si="24"/>
        <v>0</v>
      </c>
      <c r="Y77" s="215">
        <f t="shared" ca="1" si="24"/>
        <v>0</v>
      </c>
      <c r="Z77" s="215">
        <f t="shared" ca="1" si="24"/>
        <v>0</v>
      </c>
      <c r="AA77" s="215">
        <f t="shared" ca="1" si="24"/>
        <v>0</v>
      </c>
      <c r="AB77" s="215">
        <f t="shared" ca="1" si="24"/>
        <v>0</v>
      </c>
      <c r="AC77" s="215">
        <f t="shared" ca="1" si="24"/>
        <v>0</v>
      </c>
      <c r="AD77" s="215">
        <f t="shared" ca="1" si="24"/>
        <v>0</v>
      </c>
      <c r="AE77" s="215">
        <f t="shared" ca="1" si="24"/>
        <v>0</v>
      </c>
      <c r="AF77" s="216" t="str">
        <f>A77</f>
        <v>Total ND Stunden</v>
      </c>
      <c r="AG77" s="217"/>
      <c r="AH77" s="218">
        <f ca="1">SUM(B77:AE77)</f>
        <v>0</v>
      </c>
      <c r="AI77" s="213"/>
      <c r="AJ77" s="208"/>
      <c r="AK77" s="208"/>
      <c r="AL77" s="208"/>
      <c r="AM77" s="207"/>
      <c r="AN77" s="208"/>
      <c r="AO77" s="208"/>
      <c r="AP77" s="118"/>
    </row>
    <row r="78" spans="1:42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04"/>
      <c r="AG78" s="232"/>
      <c r="AH78" s="221"/>
      <c r="AI78" s="213"/>
      <c r="AJ78" s="208"/>
      <c r="AK78" s="208"/>
      <c r="AL78" s="208"/>
      <c r="AM78" s="207"/>
      <c r="AN78" s="208"/>
      <c r="AO78" s="208"/>
      <c r="AP78" s="118"/>
    </row>
    <row r="79" spans="1:42" s="38" customFormat="1" ht="15" customHeight="1" outlineLevel="1" x14ac:dyDescent="0.2">
      <c r="A79" s="211" t="s">
        <v>194</v>
      </c>
      <c r="B79" s="278">
        <f t="shared" ref="B79:AE79" ca="1" si="25">IF(AND(T.50_Vetsuisse,B70&gt;24),ROUND(B73*T.50_VetsuisseZZSND*1440,0)/1440,
IF(AND(T.ServiceCenterIrchel,B69&gt;0,B77&gt;=ROUND(1/24*8*1440,0)/1440),ROUND(B77*T.ServiceCenterIrchelZZSND*1440,0)/1440,
IF(AND(T.MedizinischeMikrobiologie,B69&gt;0,B77+IF(B$10=EOMONTH(B$10,0),$AL81,OFFSET(B81,0,1))&gt;=ROUND(1/24*8*1440,0)/1440),ROUND(B77*T.MedizinischeMikrobiologieZZSND*1440,0)/1440,)))</f>
        <v>0</v>
      </c>
      <c r="C79" s="278">
        <f t="shared" ca="1" si="25"/>
        <v>0</v>
      </c>
      <c r="D79" s="278">
        <f t="shared" ca="1" si="25"/>
        <v>0</v>
      </c>
      <c r="E79" s="278">
        <f t="shared" ca="1" si="25"/>
        <v>0</v>
      </c>
      <c r="F79" s="278">
        <f t="shared" ca="1" si="25"/>
        <v>0</v>
      </c>
      <c r="G79" s="278">
        <f t="shared" ca="1" si="25"/>
        <v>0</v>
      </c>
      <c r="H79" s="278">
        <f t="shared" ca="1" si="25"/>
        <v>0</v>
      </c>
      <c r="I79" s="278">
        <f t="shared" ca="1" si="25"/>
        <v>0</v>
      </c>
      <c r="J79" s="278">
        <f t="shared" ca="1" si="25"/>
        <v>0</v>
      </c>
      <c r="K79" s="278">
        <f t="shared" ca="1" si="25"/>
        <v>0</v>
      </c>
      <c r="L79" s="278">
        <f t="shared" ca="1" si="25"/>
        <v>0</v>
      </c>
      <c r="M79" s="278">
        <f t="shared" ca="1" si="25"/>
        <v>0</v>
      </c>
      <c r="N79" s="278">
        <f t="shared" ca="1" si="25"/>
        <v>0</v>
      </c>
      <c r="O79" s="278">
        <f t="shared" ca="1" si="25"/>
        <v>0</v>
      </c>
      <c r="P79" s="278">
        <f t="shared" ca="1" si="25"/>
        <v>0</v>
      </c>
      <c r="Q79" s="278">
        <f t="shared" ca="1" si="25"/>
        <v>0</v>
      </c>
      <c r="R79" s="278">
        <f t="shared" ca="1" si="25"/>
        <v>0</v>
      </c>
      <c r="S79" s="278">
        <f t="shared" ca="1" si="25"/>
        <v>0</v>
      </c>
      <c r="T79" s="278">
        <f t="shared" ca="1" si="25"/>
        <v>0</v>
      </c>
      <c r="U79" s="278">
        <f t="shared" ca="1" si="25"/>
        <v>0</v>
      </c>
      <c r="V79" s="278">
        <f t="shared" ca="1" si="25"/>
        <v>0</v>
      </c>
      <c r="W79" s="278">
        <f t="shared" ca="1" si="25"/>
        <v>0</v>
      </c>
      <c r="X79" s="278">
        <f t="shared" ca="1" si="25"/>
        <v>0</v>
      </c>
      <c r="Y79" s="278">
        <f t="shared" ca="1" si="25"/>
        <v>0</v>
      </c>
      <c r="Z79" s="278">
        <f t="shared" ca="1" si="25"/>
        <v>0</v>
      </c>
      <c r="AA79" s="278">
        <f t="shared" ca="1" si="25"/>
        <v>0</v>
      </c>
      <c r="AB79" s="278">
        <f t="shared" ca="1" si="25"/>
        <v>0</v>
      </c>
      <c r="AC79" s="278">
        <f t="shared" ca="1" si="25"/>
        <v>0</v>
      </c>
      <c r="AD79" s="278">
        <f t="shared" ca="1" si="25"/>
        <v>0</v>
      </c>
      <c r="AE79" s="278">
        <f t="shared" ca="1" si="25"/>
        <v>0</v>
      </c>
      <c r="AF79" s="204" t="str">
        <f>A79</f>
        <v>Zeitzuschlag Nachtdienst</v>
      </c>
      <c r="AG79" s="272"/>
      <c r="AH79" s="237">
        <f ca="1">SUM(B79:AE79)</f>
        <v>0</v>
      </c>
      <c r="AI79" s="259"/>
      <c r="AJ79" s="223"/>
      <c r="AK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L79" s="208"/>
      <c r="AM79" s="244">
        <f ca="1">AH79+AK79-AH71</f>
        <v>0</v>
      </c>
      <c r="AN79" s="244">
        <f ca="1">OFFSET(Jahr.ZZSNDSaldo,-13+MONTH(Monat.Tag1),0,1,1)</f>
        <v>0</v>
      </c>
      <c r="AO79" s="244">
        <f ca="1">Jahr.ZZSNDSaldo</f>
        <v>0</v>
      </c>
      <c r="AP79" s="118"/>
    </row>
    <row r="80" spans="1:42" s="38" customFormat="1" ht="15" customHeight="1" outlineLevel="1" x14ac:dyDescent="0.2">
      <c r="A80" s="211" t="s">
        <v>196</v>
      </c>
      <c r="B80" s="278" t="str">
        <f t="shared" ref="B80:AE80" si="26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6"/>
        <v/>
      </c>
      <c r="D80" s="278" t="str">
        <f t="shared" si="26"/>
        <v/>
      </c>
      <c r="E80" s="278" t="str">
        <f t="shared" si="26"/>
        <v/>
      </c>
      <c r="F80" s="278" t="str">
        <f t="shared" si="26"/>
        <v/>
      </c>
      <c r="G80" s="278" t="str">
        <f t="shared" si="26"/>
        <v/>
      </c>
      <c r="H80" s="278" t="str">
        <f t="shared" si="26"/>
        <v/>
      </c>
      <c r="I80" s="278" t="str">
        <f t="shared" si="26"/>
        <v/>
      </c>
      <c r="J80" s="278" t="str">
        <f t="shared" si="26"/>
        <v/>
      </c>
      <c r="K80" s="278" t="str">
        <f t="shared" si="26"/>
        <v/>
      </c>
      <c r="L80" s="278" t="str">
        <f t="shared" si="26"/>
        <v/>
      </c>
      <c r="M80" s="278" t="str">
        <f t="shared" si="26"/>
        <v/>
      </c>
      <c r="N80" s="278" t="str">
        <f t="shared" si="26"/>
        <v/>
      </c>
      <c r="O80" s="278" t="str">
        <f t="shared" si="26"/>
        <v/>
      </c>
      <c r="P80" s="278" t="str">
        <f t="shared" si="26"/>
        <v/>
      </c>
      <c r="Q80" s="278" t="str">
        <f t="shared" si="26"/>
        <v/>
      </c>
      <c r="R80" s="278" t="str">
        <f t="shared" si="26"/>
        <v/>
      </c>
      <c r="S80" s="278" t="str">
        <f t="shared" si="26"/>
        <v/>
      </c>
      <c r="T80" s="278" t="str">
        <f t="shared" si="26"/>
        <v/>
      </c>
      <c r="U80" s="278" t="str">
        <f t="shared" si="26"/>
        <v/>
      </c>
      <c r="V80" s="278" t="str">
        <f t="shared" si="26"/>
        <v/>
      </c>
      <c r="W80" s="278" t="str">
        <f t="shared" si="26"/>
        <v/>
      </c>
      <c r="X80" s="278" t="str">
        <f t="shared" si="26"/>
        <v/>
      </c>
      <c r="Y80" s="278" t="str">
        <f t="shared" si="26"/>
        <v/>
      </c>
      <c r="Z80" s="278" t="str">
        <f t="shared" si="26"/>
        <v/>
      </c>
      <c r="AA80" s="278" t="str">
        <f t="shared" si="26"/>
        <v/>
      </c>
      <c r="AB80" s="278" t="str">
        <f t="shared" si="26"/>
        <v/>
      </c>
      <c r="AC80" s="278" t="str">
        <f t="shared" si="26"/>
        <v/>
      </c>
      <c r="AD80" s="278" t="str">
        <f t="shared" si="26"/>
        <v/>
      </c>
      <c r="AE80" s="278" t="str">
        <f t="shared" si="26"/>
        <v/>
      </c>
      <c r="AF80" s="204" t="str">
        <f>A80</f>
        <v>Abendarbeit</v>
      </c>
      <c r="AG80" s="272"/>
      <c r="AH80" s="237">
        <f>SUM(B80:AE80)</f>
        <v>0</v>
      </c>
      <c r="AI80" s="259"/>
      <c r="AJ80" s="223"/>
      <c r="AK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L80" s="208"/>
      <c r="AM80" s="244">
        <f ca="1">AH80+AK80</f>
        <v>0</v>
      </c>
      <c r="AN80" s="207"/>
      <c r="AO80" s="207"/>
      <c r="AP80" s="118"/>
    </row>
    <row r="81" spans="1:42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04" t="str">
        <f>A81</f>
        <v>Bereitschaftsdienst</v>
      </c>
      <c r="AG81" s="272"/>
      <c r="AH81" s="237">
        <f ca="1">SUM(B81:AE81)</f>
        <v>0</v>
      </c>
      <c r="AI81" s="259"/>
      <c r="AJ81" s="223"/>
      <c r="AK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L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M81" s="244">
        <f ca="1">AH81+AK81</f>
        <v>0</v>
      </c>
      <c r="AN81" s="207"/>
      <c r="AO81" s="207"/>
      <c r="AP81" s="118"/>
    </row>
    <row r="82" spans="1:42" s="38" customFormat="1" ht="15" customHeight="1" outlineLevel="1" x14ac:dyDescent="0.2">
      <c r="A82" s="211" t="s">
        <v>79</v>
      </c>
      <c r="B82" s="278">
        <f t="shared" ref="B82:AE82" ca="1" si="27">IF(B$12=0,"",IF(OR(WEEKDAY(B$10,2)&gt;5,B$11=0),
IF(T.50_NoVetsuisse,B45,
IF(OR(T.50_Vetsuisse,T.ServiceCenterIrchel,T.MedizinischeMikrobiologie),IF(B23-B73=0,"",B23-B73),
B60)),))</f>
        <v>0</v>
      </c>
      <c r="C82" s="278">
        <f t="shared" ca="1" si="27"/>
        <v>0</v>
      </c>
      <c r="D82" s="279">
        <f t="shared" ca="1" si="27"/>
        <v>0</v>
      </c>
      <c r="E82" s="278" t="str">
        <f t="shared" ca="1" si="27"/>
        <v/>
      </c>
      <c r="F82" s="279" t="str">
        <f t="shared" ca="1" si="27"/>
        <v/>
      </c>
      <c r="G82" s="279" t="str">
        <f t="shared" ca="1" si="27"/>
        <v/>
      </c>
      <c r="H82" s="279">
        <f t="shared" ca="1" si="27"/>
        <v>0</v>
      </c>
      <c r="I82" s="279">
        <f t="shared" ca="1" si="27"/>
        <v>0</v>
      </c>
      <c r="J82" s="278">
        <f t="shared" ca="1" si="27"/>
        <v>0</v>
      </c>
      <c r="K82" s="279">
        <f t="shared" ca="1" si="27"/>
        <v>0</v>
      </c>
      <c r="L82" s="278" t="str">
        <f t="shared" ca="1" si="27"/>
        <v/>
      </c>
      <c r="M82" s="279" t="str">
        <f t="shared" ca="1" si="27"/>
        <v/>
      </c>
      <c r="N82" s="279">
        <f t="shared" ca="1" si="27"/>
        <v>0</v>
      </c>
      <c r="O82" s="279">
        <f t="shared" ca="1" si="27"/>
        <v>0</v>
      </c>
      <c r="P82" s="279">
        <f t="shared" ca="1" si="27"/>
        <v>0</v>
      </c>
      <c r="Q82" s="278">
        <f t="shared" ca="1" si="27"/>
        <v>0</v>
      </c>
      <c r="R82" s="279">
        <f t="shared" ca="1" si="27"/>
        <v>0</v>
      </c>
      <c r="S82" s="278" t="str">
        <f t="shared" ca="1" si="27"/>
        <v/>
      </c>
      <c r="T82" s="278" t="str">
        <f t="shared" ca="1" si="27"/>
        <v/>
      </c>
      <c r="U82" s="279">
        <f t="shared" ca="1" si="27"/>
        <v>0</v>
      </c>
      <c r="V82" s="279">
        <f t="shared" ca="1" si="27"/>
        <v>0</v>
      </c>
      <c r="W82" s="279">
        <f t="shared" ca="1" si="27"/>
        <v>0</v>
      </c>
      <c r="X82" s="278">
        <f t="shared" ca="1" si="27"/>
        <v>0</v>
      </c>
      <c r="Y82" s="279">
        <f t="shared" ca="1" si="27"/>
        <v>0</v>
      </c>
      <c r="Z82" s="280" t="str">
        <f t="shared" ca="1" si="27"/>
        <v/>
      </c>
      <c r="AA82" s="279" t="str">
        <f t="shared" ca="1" si="27"/>
        <v/>
      </c>
      <c r="AB82" s="279">
        <f t="shared" ca="1" si="27"/>
        <v>0</v>
      </c>
      <c r="AC82" s="279">
        <f t="shared" ca="1" si="27"/>
        <v>0</v>
      </c>
      <c r="AD82" s="279">
        <f t="shared" ca="1" si="27"/>
        <v>0</v>
      </c>
      <c r="AE82" s="278">
        <f t="shared" ca="1" si="27"/>
        <v>0</v>
      </c>
      <c r="AF82" s="204" t="str">
        <f>A82</f>
        <v>Samstag-/Sonntagdienst</v>
      </c>
      <c r="AG82" s="227"/>
      <c r="AH82" s="237">
        <f ca="1">SUM(B82:AE82)</f>
        <v>0</v>
      </c>
      <c r="AI82" s="228">
        <f ca="1">IFERROR(SUMPRODUCT((B82:AE82&gt;0)*(B82:AE82&lt;&gt;"")),0)</f>
        <v>0</v>
      </c>
      <c r="AJ82" s="223"/>
      <c r="AK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L82" s="208"/>
      <c r="AM82" s="244">
        <f ca="1">AH82+AK82</f>
        <v>0</v>
      </c>
      <c r="AN82" s="207"/>
      <c r="AO82" s="207"/>
      <c r="AP82" s="118"/>
    </row>
    <row r="83" spans="1:42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04"/>
      <c r="AG83" s="227"/>
      <c r="AH83" s="223"/>
      <c r="AI83" s="276"/>
      <c r="AJ83" s="260"/>
      <c r="AK83" s="260"/>
      <c r="AL83" s="208"/>
      <c r="AM83" s="277"/>
      <c r="AN83" s="281"/>
      <c r="AO83" s="281"/>
      <c r="AP83" s="118"/>
    </row>
    <row r="84" spans="1:42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204" t="str">
        <f ca="1">A84 &amp; IFERROR(IF(AND(MONTH(Monat.Tag1)=6,EB.Jahr&gt;2020),IF(SUM(Jahresabrechnung!AC15:AC20)&lt;EB.FerienBer,IF(EB.Sprache="EN"," (Balance PY "," (Saldo VJ ") &amp; " &gt; 0!)",""),""),"")</f>
        <v>Ferien</v>
      </c>
      <c r="AG84" s="217"/>
      <c r="AH84" s="237">
        <f>SUM(B84:AE84)</f>
        <v>0</v>
      </c>
      <c r="AI84" s="259"/>
      <c r="AJ84" s="243">
        <f ca="1">OFFSET(EB.MFAStd.Knoten,MONTH(Monat.Tag1),0,1,1)</f>
        <v>0</v>
      </c>
      <c r="AK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L84" s="208"/>
      <c r="AM84" s="244">
        <f ca="1">ROUND(IF(AG85="+",(AJ84+AK84-Monat.Ferien.Total+AH85),(AJ84+AK84-Monat.Ferien.Total-AH85))*1440,0)/1440</f>
        <v>0</v>
      </c>
      <c r="AN84" s="244">
        <f ca="1">SUM(Jahresabrechnung!AC12:AC13)-SUM(OFFSET(Jahresabrechnung!AC15,0,0,MONTH(Monat.Tag1),1))</f>
        <v>0</v>
      </c>
      <c r="AO84" s="244">
        <f ca="1">J.FerienUE.Total</f>
        <v>0</v>
      </c>
      <c r="AP84" s="118"/>
    </row>
    <row r="85" spans="1:42" s="38" customFormat="1" ht="15" customHeight="1" x14ac:dyDescent="0.2">
      <c r="A85" s="219"/>
      <c r="B85" s="435">
        <f t="shared" ref="B85:AE85" ca="1" si="28">IF(DAY(B$10)=1,Monat.Ferien.JS+Monat.Ferien.Total-B84,A85-B84)</f>
        <v>0</v>
      </c>
      <c r="C85" s="435">
        <f t="shared" ca="1" si="28"/>
        <v>0</v>
      </c>
      <c r="D85" s="435">
        <f t="shared" ca="1" si="28"/>
        <v>0</v>
      </c>
      <c r="E85" s="435">
        <f t="shared" ca="1" si="28"/>
        <v>0</v>
      </c>
      <c r="F85" s="435">
        <f t="shared" ca="1" si="28"/>
        <v>0</v>
      </c>
      <c r="G85" s="435">
        <f t="shared" ca="1" si="28"/>
        <v>0</v>
      </c>
      <c r="H85" s="435">
        <f t="shared" ca="1" si="28"/>
        <v>0</v>
      </c>
      <c r="I85" s="435">
        <f t="shared" ca="1" si="28"/>
        <v>0</v>
      </c>
      <c r="J85" s="435">
        <f t="shared" ca="1" si="28"/>
        <v>0</v>
      </c>
      <c r="K85" s="435">
        <f t="shared" ca="1" si="28"/>
        <v>0</v>
      </c>
      <c r="L85" s="435">
        <f t="shared" ca="1" si="28"/>
        <v>0</v>
      </c>
      <c r="M85" s="435">
        <f t="shared" ca="1" si="28"/>
        <v>0</v>
      </c>
      <c r="N85" s="435">
        <f t="shared" ca="1" si="28"/>
        <v>0</v>
      </c>
      <c r="O85" s="435">
        <f t="shared" ca="1" si="28"/>
        <v>0</v>
      </c>
      <c r="P85" s="435">
        <f t="shared" ca="1" si="28"/>
        <v>0</v>
      </c>
      <c r="Q85" s="435">
        <f t="shared" ca="1" si="28"/>
        <v>0</v>
      </c>
      <c r="R85" s="435">
        <f t="shared" ca="1" si="28"/>
        <v>0</v>
      </c>
      <c r="S85" s="435">
        <f t="shared" ca="1" si="28"/>
        <v>0</v>
      </c>
      <c r="T85" s="435">
        <f t="shared" ca="1" si="28"/>
        <v>0</v>
      </c>
      <c r="U85" s="435">
        <f t="shared" ca="1" si="28"/>
        <v>0</v>
      </c>
      <c r="V85" s="435">
        <f t="shared" ca="1" si="28"/>
        <v>0</v>
      </c>
      <c r="W85" s="435">
        <f t="shared" ca="1" si="28"/>
        <v>0</v>
      </c>
      <c r="X85" s="435">
        <f t="shared" ca="1" si="28"/>
        <v>0</v>
      </c>
      <c r="Y85" s="435">
        <f t="shared" ca="1" si="28"/>
        <v>0</v>
      </c>
      <c r="Z85" s="435">
        <f t="shared" ca="1" si="28"/>
        <v>0</v>
      </c>
      <c r="AA85" s="435">
        <f t="shared" ca="1" si="28"/>
        <v>0</v>
      </c>
      <c r="AB85" s="435">
        <f t="shared" ca="1" si="28"/>
        <v>0</v>
      </c>
      <c r="AC85" s="435">
        <f t="shared" ca="1" si="28"/>
        <v>0</v>
      </c>
      <c r="AD85" s="435">
        <f t="shared" ca="1" si="28"/>
        <v>0</v>
      </c>
      <c r="AE85" s="435">
        <f t="shared" ca="1" si="28"/>
        <v>0</v>
      </c>
      <c r="AF85" s="211" t="s">
        <v>68</v>
      </c>
      <c r="AG85" s="45" t="s">
        <v>27</v>
      </c>
      <c r="AH85" s="48"/>
      <c r="AI85" s="268"/>
      <c r="AJ85" s="208"/>
      <c r="AK85" s="208"/>
      <c r="AL85" s="208"/>
      <c r="AM85" s="207"/>
      <c r="AN85" s="282"/>
      <c r="AO85" s="282"/>
      <c r="AP85" s="118"/>
    </row>
    <row r="86" spans="1:42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204" t="str">
        <f t="shared" ref="AF86:AF95" si="29">A86</f>
        <v>Arztbesuch</v>
      </c>
      <c r="AG86" s="217"/>
      <c r="AH86" s="237">
        <f t="shared" ref="AH86:AH95" si="30">SUM(B86:AE86)</f>
        <v>0</v>
      </c>
      <c r="AI86" s="259"/>
      <c r="AJ86" s="260"/>
      <c r="AK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L86" s="208"/>
      <c r="AM86" s="244">
        <f t="shared" ref="AM86:AM94" ca="1" si="31">AH86+AK86</f>
        <v>0</v>
      </c>
      <c r="AN86" s="207"/>
      <c r="AO86" s="207"/>
      <c r="AP86" s="118"/>
    </row>
    <row r="87" spans="1:42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204" t="str">
        <f t="shared" si="29"/>
        <v>Krankheit</v>
      </c>
      <c r="AG87" s="217"/>
      <c r="AH87" s="237">
        <f t="shared" si="30"/>
        <v>0</v>
      </c>
      <c r="AI87" s="259"/>
      <c r="AJ87" s="260"/>
      <c r="AK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L87" s="208"/>
      <c r="AM87" s="244">
        <f t="shared" ca="1" si="31"/>
        <v>0</v>
      </c>
      <c r="AN87" s="207"/>
      <c r="AO87" s="207"/>
      <c r="AP87" s="118"/>
    </row>
    <row r="88" spans="1:42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204" t="str">
        <f t="shared" si="29"/>
        <v>Berufsunfall</v>
      </c>
      <c r="AG88" s="217"/>
      <c r="AH88" s="237">
        <f t="shared" si="30"/>
        <v>0</v>
      </c>
      <c r="AI88" s="259"/>
      <c r="AJ88" s="260"/>
      <c r="AK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L88" s="208"/>
      <c r="AM88" s="244">
        <f t="shared" ca="1" si="31"/>
        <v>0</v>
      </c>
      <c r="AN88" s="207"/>
      <c r="AO88" s="207"/>
      <c r="AP88" s="118"/>
    </row>
    <row r="89" spans="1:42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204" t="str">
        <f t="shared" si="29"/>
        <v>Nichtberufsunfall</v>
      </c>
      <c r="AG89" s="217"/>
      <c r="AH89" s="237">
        <f t="shared" si="30"/>
        <v>0</v>
      </c>
      <c r="AI89" s="259"/>
      <c r="AJ89" s="260"/>
      <c r="AK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L89" s="208"/>
      <c r="AM89" s="244">
        <f t="shared" ca="1" si="31"/>
        <v>0</v>
      </c>
      <c r="AN89" s="207"/>
      <c r="AO89" s="207"/>
      <c r="AP89" s="118"/>
    </row>
    <row r="90" spans="1:42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204" t="str">
        <f t="shared" si="29"/>
        <v>Militär/Zivilschutz</v>
      </c>
      <c r="AG90" s="217"/>
      <c r="AH90" s="237">
        <f t="shared" si="30"/>
        <v>0</v>
      </c>
      <c r="AI90" s="259"/>
      <c r="AJ90" s="260"/>
      <c r="AK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L90" s="208"/>
      <c r="AM90" s="244">
        <f t="shared" ca="1" si="31"/>
        <v>0</v>
      </c>
      <c r="AN90" s="207"/>
      <c r="AO90" s="207"/>
      <c r="AP90" s="118"/>
    </row>
    <row r="91" spans="1:42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204" t="str">
        <f t="shared" si="29"/>
        <v>Weiterbildung</v>
      </c>
      <c r="AG91" s="217"/>
      <c r="AH91" s="237">
        <f t="shared" si="30"/>
        <v>0</v>
      </c>
      <c r="AI91" s="259"/>
      <c r="AJ91" s="260"/>
      <c r="AK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L91" s="208"/>
      <c r="AM91" s="244">
        <f t="shared" ca="1" si="31"/>
        <v>0</v>
      </c>
      <c r="AN91" s="207"/>
      <c r="AO91" s="207"/>
      <c r="AP91" s="118"/>
    </row>
    <row r="92" spans="1:42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204" t="str">
        <f t="shared" si="29"/>
        <v>Besoldeter Urlaub</v>
      </c>
      <c r="AG92" s="217"/>
      <c r="AH92" s="237">
        <f t="shared" si="30"/>
        <v>0</v>
      </c>
      <c r="AI92" s="259"/>
      <c r="AJ92" s="260"/>
      <c r="AK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L92" s="208"/>
      <c r="AM92" s="244">
        <f t="shared" ca="1" si="31"/>
        <v>0</v>
      </c>
      <c r="AN92" s="207"/>
      <c r="AO92" s="207"/>
      <c r="AP92" s="118"/>
    </row>
    <row r="93" spans="1:42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204" t="str">
        <f t="shared" si="29"/>
        <v>Unbesoldeter Urlaub</v>
      </c>
      <c r="AG93" s="217"/>
      <c r="AH93" s="237">
        <f t="shared" si="30"/>
        <v>0</v>
      </c>
      <c r="AI93" s="259"/>
      <c r="AJ93" s="260"/>
      <c r="AK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L93" s="208"/>
      <c r="AM93" s="244">
        <f t="shared" ca="1" si="31"/>
        <v>0</v>
      </c>
      <c r="AN93" s="207"/>
      <c r="AO93" s="207"/>
      <c r="AP93" s="118"/>
    </row>
    <row r="94" spans="1:42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204" t="str">
        <f t="shared" si="29"/>
        <v>Nebenbeschäftigung</v>
      </c>
      <c r="AG94" s="217"/>
      <c r="AH94" s="237">
        <f t="shared" si="30"/>
        <v>0</v>
      </c>
      <c r="AI94" s="259"/>
      <c r="AJ94" s="260"/>
      <c r="AK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L94" s="208"/>
      <c r="AM94" s="244">
        <f t="shared" ca="1" si="31"/>
        <v>0</v>
      </c>
      <c r="AN94" s="207"/>
      <c r="AO94" s="207"/>
      <c r="AP94" s="118"/>
    </row>
    <row r="95" spans="1:42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204" t="str">
        <f t="shared" si="29"/>
        <v>DAG</v>
      </c>
      <c r="AG95" s="217"/>
      <c r="AH95" s="237">
        <f t="shared" si="30"/>
        <v>0</v>
      </c>
      <c r="AI95" s="259"/>
      <c r="AJ95" s="260"/>
      <c r="AK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L95" s="208"/>
      <c r="AM95" s="244">
        <f ca="1">AK95-AH95</f>
        <v>0</v>
      </c>
      <c r="AN95" s="207"/>
      <c r="AO95" s="207"/>
      <c r="AP95" s="118"/>
    </row>
    <row r="96" spans="1:42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04"/>
      <c r="AG96" s="227"/>
      <c r="AH96" s="223"/>
      <c r="AI96" s="276"/>
      <c r="AJ96" s="260"/>
      <c r="AK96" s="260"/>
      <c r="AL96" s="208"/>
      <c r="AM96" s="277"/>
      <c r="AN96" s="212"/>
      <c r="AO96" s="212"/>
      <c r="AP96" s="118"/>
    </row>
    <row r="97" spans="1:42" s="38" customFormat="1" ht="15" customHeight="1" x14ac:dyDescent="0.2">
      <c r="A97" s="214" t="str">
        <f t="shared" ref="A97:A111" ca="1" si="32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204" t="str">
        <f t="shared" ref="AF97:AF112" ca="1" si="33">A97</f>
        <v/>
      </c>
      <c r="AG97" s="232"/>
      <c r="AH97" s="283">
        <f t="shared" ref="AH97:AH112" si="34">SUM(B97:AE97)</f>
        <v>0</v>
      </c>
      <c r="AI97" s="259"/>
      <c r="AJ97" s="223"/>
      <c r="AK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L97" s="208"/>
      <c r="AM97" s="244">
        <f t="shared" ref="AM97:AM112" ca="1" si="35">AH97+AK97</f>
        <v>0</v>
      </c>
      <c r="AN97" s="207"/>
      <c r="AO97" s="207"/>
      <c r="AP97" s="118"/>
    </row>
    <row r="98" spans="1:42" s="38" customFormat="1" ht="15" customHeight="1" x14ac:dyDescent="0.2">
      <c r="A98" s="214" t="str">
        <f t="shared" ca="1" si="32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204" t="str">
        <f t="shared" ca="1" si="33"/>
        <v/>
      </c>
      <c r="AG98" s="217"/>
      <c r="AH98" s="237">
        <f t="shared" si="34"/>
        <v>0</v>
      </c>
      <c r="AI98" s="259"/>
      <c r="AJ98" s="223"/>
      <c r="AK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L98" s="208"/>
      <c r="AM98" s="244">
        <f t="shared" ca="1" si="35"/>
        <v>0</v>
      </c>
      <c r="AN98" s="207"/>
      <c r="AO98" s="207"/>
      <c r="AP98" s="118"/>
    </row>
    <row r="99" spans="1:42" s="38" customFormat="1" ht="15" customHeight="1" x14ac:dyDescent="0.2">
      <c r="A99" s="214" t="str">
        <f t="shared" ca="1" si="32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204" t="str">
        <f t="shared" ca="1" si="33"/>
        <v/>
      </c>
      <c r="AG99" s="284"/>
      <c r="AH99" s="237">
        <f t="shared" si="34"/>
        <v>0</v>
      </c>
      <c r="AI99" s="259"/>
      <c r="AJ99" s="223"/>
      <c r="AK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L99" s="208"/>
      <c r="AM99" s="244">
        <f t="shared" ca="1" si="35"/>
        <v>0</v>
      </c>
      <c r="AN99" s="207"/>
      <c r="AO99" s="207"/>
      <c r="AP99" s="118"/>
    </row>
    <row r="100" spans="1:42" s="38" customFormat="1" ht="15" customHeight="1" x14ac:dyDescent="0.2">
      <c r="A100" s="214" t="str">
        <f t="shared" ca="1" si="32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204" t="str">
        <f t="shared" ca="1" si="33"/>
        <v/>
      </c>
      <c r="AG100" s="227"/>
      <c r="AH100" s="237">
        <f t="shared" si="34"/>
        <v>0</v>
      </c>
      <c r="AI100" s="259"/>
      <c r="AJ100" s="223"/>
      <c r="AK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L100" s="208"/>
      <c r="AM100" s="244">
        <f t="shared" ca="1" si="35"/>
        <v>0</v>
      </c>
      <c r="AN100" s="207"/>
      <c r="AO100" s="207"/>
      <c r="AP100" s="118"/>
    </row>
    <row r="101" spans="1:42" s="38" customFormat="1" ht="15" customHeight="1" x14ac:dyDescent="0.2">
      <c r="A101" s="214" t="str">
        <f t="shared" ca="1" si="32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204" t="str">
        <f t="shared" ca="1" si="33"/>
        <v/>
      </c>
      <c r="AG101" s="217"/>
      <c r="AH101" s="237">
        <f t="shared" si="34"/>
        <v>0</v>
      </c>
      <c r="AI101" s="259"/>
      <c r="AJ101" s="223"/>
      <c r="AK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L101" s="208"/>
      <c r="AM101" s="244">
        <f t="shared" ca="1" si="35"/>
        <v>0</v>
      </c>
      <c r="AN101" s="207"/>
      <c r="AO101" s="207"/>
      <c r="AP101" s="118"/>
    </row>
    <row r="102" spans="1:42" s="38" customFormat="1" ht="15" hidden="1" customHeight="1" outlineLevel="1" x14ac:dyDescent="0.2">
      <c r="A102" s="214" t="str">
        <f t="shared" ca="1" si="32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204" t="str">
        <f t="shared" ca="1" si="33"/>
        <v/>
      </c>
      <c r="AG102" s="284"/>
      <c r="AH102" s="237">
        <f t="shared" si="34"/>
        <v>0</v>
      </c>
      <c r="AI102" s="259"/>
      <c r="AJ102" s="223"/>
      <c r="AK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L102" s="208"/>
      <c r="AM102" s="244">
        <f t="shared" ca="1" si="35"/>
        <v>0</v>
      </c>
      <c r="AN102" s="207"/>
      <c r="AO102" s="207"/>
      <c r="AP102" s="118"/>
    </row>
    <row r="103" spans="1:42" s="38" customFormat="1" ht="15" hidden="1" customHeight="1" outlineLevel="1" x14ac:dyDescent="0.2">
      <c r="A103" s="214" t="str">
        <f t="shared" ca="1" si="32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204" t="str">
        <f t="shared" ca="1" si="33"/>
        <v/>
      </c>
      <c r="AG103" s="227"/>
      <c r="AH103" s="237">
        <f t="shared" si="34"/>
        <v>0</v>
      </c>
      <c r="AI103" s="259"/>
      <c r="AJ103" s="223"/>
      <c r="AK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L103" s="208"/>
      <c r="AM103" s="244">
        <f t="shared" ca="1" si="35"/>
        <v>0</v>
      </c>
      <c r="AN103" s="207"/>
      <c r="AO103" s="207"/>
      <c r="AP103" s="118"/>
    </row>
    <row r="104" spans="1:42" s="38" customFormat="1" ht="15" hidden="1" customHeight="1" outlineLevel="1" x14ac:dyDescent="0.2">
      <c r="A104" s="214" t="str">
        <f t="shared" ca="1" si="32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204" t="str">
        <f t="shared" ca="1" si="33"/>
        <v/>
      </c>
      <c r="AG104" s="232"/>
      <c r="AH104" s="237">
        <f t="shared" si="34"/>
        <v>0</v>
      </c>
      <c r="AI104" s="259"/>
      <c r="AJ104" s="223"/>
      <c r="AK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L104" s="208"/>
      <c r="AM104" s="244">
        <f t="shared" ca="1" si="35"/>
        <v>0</v>
      </c>
      <c r="AN104" s="207"/>
      <c r="AO104" s="207"/>
      <c r="AP104" s="118"/>
    </row>
    <row r="105" spans="1:42" s="38" customFormat="1" ht="15" hidden="1" customHeight="1" outlineLevel="1" x14ac:dyDescent="0.2">
      <c r="A105" s="214" t="str">
        <f t="shared" ca="1" si="32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204" t="str">
        <f t="shared" ca="1" si="33"/>
        <v/>
      </c>
      <c r="AG105" s="217"/>
      <c r="AH105" s="237">
        <f t="shared" si="34"/>
        <v>0</v>
      </c>
      <c r="AI105" s="259"/>
      <c r="AJ105" s="223"/>
      <c r="AK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L105" s="208"/>
      <c r="AM105" s="244">
        <f t="shared" ca="1" si="35"/>
        <v>0</v>
      </c>
      <c r="AN105" s="207"/>
      <c r="AO105" s="207"/>
      <c r="AP105" s="118"/>
    </row>
    <row r="106" spans="1:42" s="38" customFormat="1" ht="15" hidden="1" customHeight="1" outlineLevel="1" x14ac:dyDescent="0.2">
      <c r="A106" s="214" t="str">
        <f t="shared" ca="1" si="32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204" t="str">
        <f t="shared" ca="1" si="33"/>
        <v/>
      </c>
      <c r="AG106" s="217"/>
      <c r="AH106" s="237">
        <f t="shared" si="34"/>
        <v>0</v>
      </c>
      <c r="AI106" s="259"/>
      <c r="AJ106" s="223"/>
      <c r="AK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L106" s="208"/>
      <c r="AM106" s="244">
        <f t="shared" ca="1" si="35"/>
        <v>0</v>
      </c>
      <c r="AN106" s="207"/>
      <c r="AO106" s="207"/>
      <c r="AP106" s="118"/>
    </row>
    <row r="107" spans="1:42" s="38" customFormat="1" ht="15" hidden="1" customHeight="1" outlineLevel="1" x14ac:dyDescent="0.2">
      <c r="A107" s="214" t="str">
        <f t="shared" ca="1" si="32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204" t="str">
        <f t="shared" ca="1" si="33"/>
        <v/>
      </c>
      <c r="AG107" s="232"/>
      <c r="AH107" s="237">
        <f t="shared" si="34"/>
        <v>0</v>
      </c>
      <c r="AI107" s="259"/>
      <c r="AJ107" s="223"/>
      <c r="AK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L107" s="208"/>
      <c r="AM107" s="244">
        <f t="shared" ca="1" si="35"/>
        <v>0</v>
      </c>
      <c r="AN107" s="285"/>
      <c r="AO107" s="285"/>
      <c r="AP107" s="118"/>
    </row>
    <row r="108" spans="1:42" s="49" customFormat="1" ht="15" hidden="1" customHeight="1" outlineLevel="1" x14ac:dyDescent="0.2">
      <c r="A108" s="214" t="str">
        <f t="shared" ca="1" si="32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204" t="str">
        <f t="shared" ca="1" si="33"/>
        <v/>
      </c>
      <c r="AG108" s="232"/>
      <c r="AH108" s="237">
        <f t="shared" si="34"/>
        <v>0</v>
      </c>
      <c r="AI108" s="259"/>
      <c r="AJ108" s="223"/>
      <c r="AK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L108" s="208"/>
      <c r="AM108" s="244">
        <f t="shared" ca="1" si="35"/>
        <v>0</v>
      </c>
      <c r="AN108" s="285"/>
      <c r="AO108" s="285"/>
      <c r="AP108" s="286"/>
    </row>
    <row r="109" spans="1:42" s="49" customFormat="1" ht="15" hidden="1" customHeight="1" outlineLevel="1" x14ac:dyDescent="0.2">
      <c r="A109" s="214" t="str">
        <f t="shared" ca="1" si="32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204" t="str">
        <f t="shared" ca="1" si="33"/>
        <v/>
      </c>
      <c r="AG109" s="217"/>
      <c r="AH109" s="237">
        <f t="shared" si="34"/>
        <v>0</v>
      </c>
      <c r="AI109" s="259"/>
      <c r="AJ109" s="223"/>
      <c r="AK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L109" s="208"/>
      <c r="AM109" s="244">
        <f t="shared" ca="1" si="35"/>
        <v>0</v>
      </c>
      <c r="AN109" s="285"/>
      <c r="AO109" s="285"/>
      <c r="AP109" s="286"/>
    </row>
    <row r="110" spans="1:42" ht="15" hidden="1" customHeight="1" outlineLevel="1" x14ac:dyDescent="0.2">
      <c r="A110" s="214" t="str">
        <f t="shared" ca="1" si="32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204" t="str">
        <f t="shared" ca="1" si="33"/>
        <v/>
      </c>
      <c r="AG110" s="217"/>
      <c r="AH110" s="237">
        <f t="shared" si="34"/>
        <v>0</v>
      </c>
      <c r="AI110" s="259"/>
      <c r="AJ110" s="223"/>
      <c r="AK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L110" s="208"/>
      <c r="AM110" s="244">
        <f t="shared" ca="1" si="35"/>
        <v>0</v>
      </c>
      <c r="AN110" s="285"/>
      <c r="AO110" s="285"/>
      <c r="AP110" s="122"/>
    </row>
    <row r="111" spans="1:42" ht="15" hidden="1" customHeight="1" outlineLevel="1" x14ac:dyDescent="0.2">
      <c r="A111" s="214" t="str">
        <f t="shared" ca="1" si="32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204" t="str">
        <f t="shared" ca="1" si="33"/>
        <v/>
      </c>
      <c r="AG111" s="217"/>
      <c r="AH111" s="237">
        <f t="shared" si="34"/>
        <v>0</v>
      </c>
      <c r="AI111" s="259"/>
      <c r="AJ111" s="223"/>
      <c r="AK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L111" s="208"/>
      <c r="AM111" s="244">
        <f t="shared" ca="1" si="35"/>
        <v>0</v>
      </c>
      <c r="AN111" s="285"/>
      <c r="AO111" s="285"/>
      <c r="AP111" s="122"/>
    </row>
    <row r="112" spans="1:42" ht="15" customHeight="1" collapsed="1" x14ac:dyDescent="0.2">
      <c r="A112" s="214" t="s">
        <v>188</v>
      </c>
      <c r="B112" s="235">
        <f>SUM(B97:B111)</f>
        <v>0</v>
      </c>
      <c r="C112" s="235">
        <f t="shared" ref="C112:AE112" si="36">SUM(C97:C111)</f>
        <v>0</v>
      </c>
      <c r="D112" s="235">
        <f t="shared" si="36"/>
        <v>0</v>
      </c>
      <c r="E112" s="235">
        <f t="shared" si="36"/>
        <v>0</v>
      </c>
      <c r="F112" s="235">
        <f t="shared" si="36"/>
        <v>0</v>
      </c>
      <c r="G112" s="235">
        <f t="shared" si="36"/>
        <v>0</v>
      </c>
      <c r="H112" s="235">
        <f t="shared" si="36"/>
        <v>0</v>
      </c>
      <c r="I112" s="235">
        <f t="shared" si="36"/>
        <v>0</v>
      </c>
      <c r="J112" s="235">
        <f t="shared" si="36"/>
        <v>0</v>
      </c>
      <c r="K112" s="235">
        <f t="shared" si="36"/>
        <v>0</v>
      </c>
      <c r="L112" s="235">
        <f t="shared" si="36"/>
        <v>0</v>
      </c>
      <c r="M112" s="235">
        <f t="shared" si="36"/>
        <v>0</v>
      </c>
      <c r="N112" s="235">
        <f t="shared" si="36"/>
        <v>0</v>
      </c>
      <c r="O112" s="235">
        <f t="shared" si="36"/>
        <v>0</v>
      </c>
      <c r="P112" s="235">
        <f t="shared" si="36"/>
        <v>0</v>
      </c>
      <c r="Q112" s="235">
        <f t="shared" si="36"/>
        <v>0</v>
      </c>
      <c r="R112" s="235">
        <f t="shared" si="36"/>
        <v>0</v>
      </c>
      <c r="S112" s="235">
        <f t="shared" si="36"/>
        <v>0</v>
      </c>
      <c r="T112" s="235">
        <f t="shared" si="36"/>
        <v>0</v>
      </c>
      <c r="U112" s="235">
        <f t="shared" si="36"/>
        <v>0</v>
      </c>
      <c r="V112" s="235">
        <f t="shared" si="36"/>
        <v>0</v>
      </c>
      <c r="W112" s="235">
        <f t="shared" si="36"/>
        <v>0</v>
      </c>
      <c r="X112" s="235">
        <f t="shared" si="36"/>
        <v>0</v>
      </c>
      <c r="Y112" s="235">
        <f t="shared" si="36"/>
        <v>0</v>
      </c>
      <c r="Z112" s="235">
        <f t="shared" si="36"/>
        <v>0</v>
      </c>
      <c r="AA112" s="235">
        <f t="shared" si="36"/>
        <v>0</v>
      </c>
      <c r="AB112" s="235">
        <f t="shared" si="36"/>
        <v>0</v>
      </c>
      <c r="AC112" s="235">
        <f t="shared" si="36"/>
        <v>0</v>
      </c>
      <c r="AD112" s="235">
        <f t="shared" si="36"/>
        <v>0</v>
      </c>
      <c r="AE112" s="235">
        <f t="shared" si="36"/>
        <v>0</v>
      </c>
      <c r="AF112" s="216" t="str">
        <f t="shared" si="33"/>
        <v>Arbeitszeit Total Projekte</v>
      </c>
      <c r="AG112" s="217"/>
      <c r="AH112" s="237">
        <f t="shared" si="34"/>
        <v>0</v>
      </c>
      <c r="AI112" s="259"/>
      <c r="AJ112" s="223"/>
      <c r="AK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L112" s="208"/>
      <c r="AM112" s="244">
        <f t="shared" ca="1" si="35"/>
        <v>0</v>
      </c>
      <c r="AN112" s="287"/>
      <c r="AO112" s="287"/>
      <c r="AP112" s="122"/>
    </row>
    <row r="113" spans="1:42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89"/>
      <c r="AG113" s="284"/>
      <c r="AH113" s="225"/>
      <c r="AI113" s="290"/>
      <c r="AJ113" s="225"/>
      <c r="AK113" s="225"/>
      <c r="AL113" s="225"/>
      <c r="AM113" s="129"/>
      <c r="AN113" s="225"/>
      <c r="AO113" s="225"/>
      <c r="AP113" s="118"/>
    </row>
    <row r="114" spans="1:42" s="38" customFormat="1" ht="15" hidden="1" customHeight="1" outlineLevel="1" x14ac:dyDescent="0.2">
      <c r="A114" s="214" t="s">
        <v>214</v>
      </c>
      <c r="B114" s="239">
        <f t="shared" ref="B114:AE114" si="37">ROUND(((B23+B45+B91)-SUMPRODUCT((B97:B111)*(EB.Projektart.Bereich=6)))*1440,0)/1440</f>
        <v>0</v>
      </c>
      <c r="C114" s="239">
        <f t="shared" si="37"/>
        <v>0</v>
      </c>
      <c r="D114" s="239">
        <f t="shared" si="37"/>
        <v>0</v>
      </c>
      <c r="E114" s="239">
        <f t="shared" si="37"/>
        <v>0</v>
      </c>
      <c r="F114" s="239">
        <f t="shared" si="37"/>
        <v>0</v>
      </c>
      <c r="G114" s="239">
        <f t="shared" si="37"/>
        <v>0</v>
      </c>
      <c r="H114" s="239">
        <f t="shared" si="37"/>
        <v>0</v>
      </c>
      <c r="I114" s="239">
        <f t="shared" si="37"/>
        <v>0</v>
      </c>
      <c r="J114" s="239">
        <f t="shared" si="37"/>
        <v>0</v>
      </c>
      <c r="K114" s="239">
        <f t="shared" si="37"/>
        <v>0</v>
      </c>
      <c r="L114" s="239">
        <f t="shared" si="37"/>
        <v>0</v>
      </c>
      <c r="M114" s="239">
        <f t="shared" si="37"/>
        <v>0</v>
      </c>
      <c r="N114" s="239">
        <f t="shared" si="37"/>
        <v>0</v>
      </c>
      <c r="O114" s="239">
        <f t="shared" si="37"/>
        <v>0</v>
      </c>
      <c r="P114" s="239">
        <f t="shared" si="37"/>
        <v>0</v>
      </c>
      <c r="Q114" s="239">
        <f t="shared" si="37"/>
        <v>0</v>
      </c>
      <c r="R114" s="239">
        <f t="shared" si="37"/>
        <v>0</v>
      </c>
      <c r="S114" s="239">
        <f t="shared" si="37"/>
        <v>0</v>
      </c>
      <c r="T114" s="239">
        <f t="shared" si="37"/>
        <v>0</v>
      </c>
      <c r="U114" s="239">
        <f t="shared" si="37"/>
        <v>0</v>
      </c>
      <c r="V114" s="239">
        <f t="shared" si="37"/>
        <v>0</v>
      </c>
      <c r="W114" s="239">
        <f t="shared" si="37"/>
        <v>0</v>
      </c>
      <c r="X114" s="239">
        <f t="shared" si="37"/>
        <v>0</v>
      </c>
      <c r="Y114" s="239">
        <f t="shared" si="37"/>
        <v>0</v>
      </c>
      <c r="Z114" s="239">
        <f t="shared" si="37"/>
        <v>0</v>
      </c>
      <c r="AA114" s="239">
        <f t="shared" si="37"/>
        <v>0</v>
      </c>
      <c r="AB114" s="239">
        <f t="shared" si="37"/>
        <v>0</v>
      </c>
      <c r="AC114" s="239">
        <f t="shared" si="37"/>
        <v>0</v>
      </c>
      <c r="AD114" s="239">
        <f t="shared" si="37"/>
        <v>0</v>
      </c>
      <c r="AE114" s="239">
        <f t="shared" si="37"/>
        <v>0</v>
      </c>
      <c r="AF114" s="216" t="str">
        <f t="shared" ref="AF114" si="38">A114</f>
        <v>Differenz AZ - Projektart 6</v>
      </c>
      <c r="AG114" s="227"/>
      <c r="AH114" s="237">
        <f>SUM(B114:AE114)</f>
        <v>0</v>
      </c>
      <c r="AI114" s="259"/>
      <c r="AJ114" s="260"/>
      <c r="AK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L114" s="260"/>
      <c r="AM114" s="244">
        <f ca="1">AH114+AK114</f>
        <v>0</v>
      </c>
      <c r="AN114" s="260"/>
      <c r="AO114" s="260"/>
      <c r="AP114" s="118"/>
    </row>
    <row r="115" spans="1:42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3"/>
      <c r="AG115" s="294"/>
      <c r="AH115" s="122"/>
      <c r="AI115" s="122"/>
      <c r="AJ115" s="122"/>
      <c r="AK115" s="122"/>
      <c r="AL115" s="122"/>
      <c r="AM115" s="295"/>
      <c r="AN115" s="122"/>
      <c r="AO115" s="122"/>
      <c r="AP115" s="122"/>
    </row>
    <row r="116" spans="1:42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3"/>
      <c r="AG116" s="294"/>
      <c r="AH116" s="122"/>
      <c r="AI116" s="122"/>
      <c r="AJ116" s="122"/>
      <c r="AK116" s="122"/>
      <c r="AL116" s="122"/>
      <c r="AM116" s="295"/>
      <c r="AN116" s="122"/>
      <c r="AO116" s="122"/>
      <c r="AP116" s="122"/>
    </row>
    <row r="117" spans="1:42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7"/>
      <c r="AG117" s="298"/>
      <c r="AH117" s="296"/>
      <c r="AI117" s="296"/>
      <c r="AJ117" s="296"/>
      <c r="AK117" s="296"/>
      <c r="AL117" s="296"/>
      <c r="AM117" s="299"/>
      <c r="AN117" s="286"/>
      <c r="AO117" s="286"/>
      <c r="AP117" s="122"/>
    </row>
    <row r="118" spans="1:42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122"/>
    </row>
    <row r="119" spans="1:42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3" t="str">
        <f ca="1">IF(AF67&lt;&gt;Monat.KomAZText,AF67 &amp; CHAR(10),"") &amp;
IF(AF84&lt;&gt;Monat.FerienText,AF84,"")</f>
        <v/>
      </c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122"/>
    </row>
    <row r="120" spans="1:42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122"/>
    </row>
    <row r="121" spans="1:42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3"/>
      <c r="AG121" s="294"/>
      <c r="AH121" s="122"/>
      <c r="AI121" s="122"/>
      <c r="AJ121" s="122"/>
      <c r="AK121" s="122"/>
      <c r="AL121" s="122"/>
      <c r="AM121" s="295"/>
      <c r="AN121" s="122"/>
      <c r="AO121" s="122"/>
      <c r="AP121" s="122"/>
    </row>
    <row r="122" spans="1:42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3"/>
      <c r="AG122" s="294"/>
      <c r="AH122" s="122"/>
      <c r="AI122" s="122"/>
      <c r="AJ122" s="122"/>
      <c r="AK122" s="122"/>
      <c r="AL122" s="122"/>
      <c r="AM122" s="295"/>
      <c r="AN122" s="122"/>
      <c r="AO122" s="122"/>
      <c r="AP122" s="122"/>
    </row>
    <row r="123" spans="1:42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3"/>
      <c r="AG123" s="294"/>
      <c r="AH123" s="122"/>
      <c r="AI123" s="122"/>
      <c r="AJ123" s="122"/>
      <c r="AK123" s="122"/>
      <c r="AL123" s="122"/>
      <c r="AM123" s="295"/>
      <c r="AN123" s="122"/>
      <c r="AO123" s="122"/>
      <c r="AP123" s="122"/>
    </row>
    <row r="124" spans="1:42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122"/>
    </row>
    <row r="125" spans="1:42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</row>
    <row r="126" spans="1:42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</row>
    <row r="127" spans="1:42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</row>
    <row r="128" spans="1:42" x14ac:dyDescent="0.2">
      <c r="AF128" s="50"/>
      <c r="AG128" s="50"/>
      <c r="AM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N1:AO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G10:AH10"/>
    <mergeCell ref="AN10:AO10"/>
    <mergeCell ref="B117:Q117"/>
    <mergeCell ref="B119:Q119"/>
    <mergeCell ref="Y119:AE120"/>
    <mergeCell ref="AF119:AO120"/>
    <mergeCell ref="B120:Q120"/>
    <mergeCell ref="T120:X120"/>
  </mergeCells>
  <conditionalFormatting sqref="AH114 B114:AE114">
    <cfRule type="expression" dxfId="201" priority="16">
      <formula>ABS(B$114)&gt;=ROUND(1/24/60,9)</formula>
    </cfRule>
  </conditionalFormatting>
  <conditionalFormatting sqref="B13:AE22 B34:AE44 B25:AE30 B60:AE61 B67:AE67 B71:AE72 B84:AE84 B86:AE95 B97:AE111">
    <cfRule type="expression" dxfId="200" priority="14">
      <formula>WEEKDAY(B$10,2)&gt;5</formula>
    </cfRule>
    <cfRule type="expression" dxfId="199" priority="15">
      <formula>AND(NOT(ISERROR(MATCH(B$10,T.Feiertage.Bereich,0))),OFFSET(T.Feiertage.Bereich,MATCH(B$10,T.Feiertage.Bereich,0)-1,1,1,1)&gt;0)</formula>
    </cfRule>
    <cfRule type="expression" dxfId="198" priority="17">
      <formula>B$11=0</formula>
    </cfRule>
  </conditionalFormatting>
  <conditionalFormatting sqref="AM60:AN60">
    <cfRule type="expression" dxfId="197" priority="22">
      <formula>AND(T.50_Vetsuisse,AM60&gt;=T.GrenzeAngÜZ50_Vetsuisse)</formula>
    </cfRule>
    <cfRule type="expression" dxfId="196" priority="23">
      <formula>AND(T.50_Vetsuisse,AM60&gt;T.GrenzeAngÜZ50_Vetsuisse*T.AngÜZ50_Vetsuisse_orange)</formula>
    </cfRule>
  </conditionalFormatting>
  <conditionalFormatting sqref="B56:AE56">
    <cfRule type="expression" dxfId="195" priority="8">
      <formula>AND(B$10&gt;TODAY(),EB.UJAustritt="")</formula>
    </cfRule>
    <cfRule type="expression" dxfId="194" priority="9">
      <formula>B$56&gt;99.99/24</formula>
    </cfRule>
    <cfRule type="expression" dxfId="193" priority="11">
      <formula>B$56&lt;99.99/24*-1</formula>
    </cfRule>
  </conditionalFormatting>
  <conditionalFormatting sqref="AN55:AO55">
    <cfRule type="cellIs" dxfId="192" priority="24" operator="greaterThan">
      <formula>1/24/60</formula>
    </cfRule>
    <cfRule type="expression" dxfId="191" priority="25">
      <formula>AND(AN55&lt;=1/24/60*-1,TODAY()&gt;=DATE(EB.Jahr,MONTH(12),DAY(31)))</formula>
    </cfRule>
  </conditionalFormatting>
  <conditionalFormatting sqref="AH58 B56:AE56">
    <cfRule type="expression" dxfId="190" priority="10">
      <formula>B$56&gt;1/24/60</formula>
    </cfRule>
    <cfRule type="expression" dxfId="189" priority="12">
      <formula>AND(B$56&lt;=1/24/60*-1,B$56)</formula>
    </cfRule>
  </conditionalFormatting>
  <conditionalFormatting sqref="B14:AE22 B36:AE44 B26:AE30">
    <cfRule type="expression" dxfId="188" priority="6">
      <formula>AND(B14&lt;B13,B14&lt;&gt;"")</formula>
    </cfRule>
  </conditionalFormatting>
  <conditionalFormatting sqref="B72:AE73">
    <cfRule type="expression" dxfId="187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186" priority="18">
      <formula>$P$4&lt;&gt;""</formula>
    </cfRule>
  </conditionalFormatting>
  <conditionalFormatting sqref="V4">
    <cfRule type="expression" dxfId="185" priority="19">
      <formula>$V$4&lt;&gt;""</formula>
    </cfRule>
  </conditionalFormatting>
  <conditionalFormatting sqref="AO60">
    <cfRule type="expression" dxfId="184" priority="26">
      <formula>AND(T.50_Vetsuisse,AO60&gt;=T.GrenzeAngÜZ50_Vetsuisse)</formula>
    </cfRule>
    <cfRule type="expression" dxfId="183" priority="27">
      <formula>AND(T.50_Vetsuisse,AO60&gt;T.GrenzeAngÜZ50_Vetsuisse*T.AngÜZ50_Vetsuisse_orange)</formula>
    </cfRule>
  </conditionalFormatting>
  <conditionalFormatting sqref="AI72:AI73">
    <cfRule type="expression" dxfId="182" priority="20">
      <formula>AND(T.50_Vetsuisse,$AI$72&lt;&gt;$AI$73)</formula>
    </cfRule>
    <cfRule type="expression" dxfId="181" priority="21">
      <formula>$AI$72&gt;$AI$73</formula>
    </cfRule>
  </conditionalFormatting>
  <conditionalFormatting sqref="B55:AE55">
    <cfRule type="expression" dxfId="180" priority="7">
      <formula>AND(B$10&lt;=TODAY(),B$55&lt;1/24/60*-1)</formula>
    </cfRule>
  </conditionalFormatting>
  <conditionalFormatting sqref="AF67 AF84">
    <cfRule type="expression" dxfId="179" priority="5">
      <formula>AF67&lt;&gt;A67</formula>
    </cfRule>
  </conditionalFormatting>
  <conditionalFormatting sqref="B67:AE67">
    <cfRule type="expression" dxfId="178" priority="4">
      <formula>AND(B66=0,B67&gt;0)</formula>
    </cfRule>
  </conditionalFormatting>
  <conditionalFormatting sqref="B34:AE34">
    <cfRule type="expression" dxfId="177" priority="3">
      <formula>T.MedizinischeMikrobiologie</formula>
    </cfRule>
  </conditionalFormatting>
  <conditionalFormatting sqref="AJ51">
    <cfRule type="expression" dxfId="176" priority="2">
      <formula>ISNUMBER(AJ51)</formula>
    </cfRule>
  </conditionalFormatting>
  <conditionalFormatting sqref="AM51">
    <cfRule type="expression" dxfId="175" priority="1">
      <formula>ISNUMBER(AM51)</formula>
    </cfRule>
  </conditionalFormatting>
  <dataValidations count="2">
    <dataValidation type="list" allowBlank="1" showInputMessage="1" showErrorMessage="1" errorTitle="Start Gepl. Nachtdienst" error="Bitte wählen Sie einen Wert aus der Liste." sqref="B72:AE72" xr:uid="{40BB342E-261A-4597-AE99-7668E4BF9F12}">
      <formula1>T.JaNein.Bereich</formula1>
    </dataValidation>
    <dataValidation type="list" allowBlank="1" showInputMessage="1" showErrorMessage="1" errorTitle="Pikett Bereitschaft" error="Bitte wählen Sie einen Wert aus der Liste." sqref="B34:AE34" xr:uid="{DBA47BE9-7A96-4E8A-926D-AE76818067E1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83EB-91E8-411A-978C-210609B27AAA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Juli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Juli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Fr</v>
      </c>
      <c r="C9" s="194" t="str">
        <f t="shared" si="0"/>
        <v>Sa</v>
      </c>
      <c r="D9" s="194" t="str">
        <f t="shared" si="0"/>
        <v>So</v>
      </c>
      <c r="E9" s="194" t="str">
        <f t="shared" si="0"/>
        <v>Mo</v>
      </c>
      <c r="F9" s="194" t="str">
        <f t="shared" si="0"/>
        <v>Di</v>
      </c>
      <c r="G9" s="194" t="str">
        <f t="shared" si="0"/>
        <v>Mi</v>
      </c>
      <c r="H9" s="194" t="str">
        <f t="shared" si="0"/>
        <v>Do</v>
      </c>
      <c r="I9" s="194" t="str">
        <f t="shared" si="0"/>
        <v>Fr</v>
      </c>
      <c r="J9" s="194" t="str">
        <f t="shared" si="0"/>
        <v>Sa</v>
      </c>
      <c r="K9" s="194" t="str">
        <f t="shared" si="0"/>
        <v>So</v>
      </c>
      <c r="L9" s="194" t="str">
        <f t="shared" si="0"/>
        <v>Mo</v>
      </c>
      <c r="M9" s="194" t="str">
        <f t="shared" si="0"/>
        <v>Di</v>
      </c>
      <c r="N9" s="194" t="str">
        <f t="shared" si="0"/>
        <v>Mi</v>
      </c>
      <c r="O9" s="194" t="str">
        <f t="shared" si="0"/>
        <v>Do</v>
      </c>
      <c r="P9" s="194" t="str">
        <f t="shared" si="0"/>
        <v>Fr</v>
      </c>
      <c r="Q9" s="194" t="str">
        <f t="shared" si="0"/>
        <v>Sa</v>
      </c>
      <c r="R9" s="194" t="str">
        <f t="shared" si="0"/>
        <v>So</v>
      </c>
      <c r="S9" s="194" t="str">
        <f t="shared" si="0"/>
        <v>Mo</v>
      </c>
      <c r="T9" s="194" t="str">
        <f t="shared" si="0"/>
        <v>Di</v>
      </c>
      <c r="U9" s="194" t="str">
        <f t="shared" si="0"/>
        <v>Mi</v>
      </c>
      <c r="V9" s="194" t="str">
        <f t="shared" si="0"/>
        <v>Do</v>
      </c>
      <c r="W9" s="194" t="str">
        <f t="shared" si="0"/>
        <v>Fr</v>
      </c>
      <c r="X9" s="194" t="str">
        <f t="shared" si="0"/>
        <v>Sa</v>
      </c>
      <c r="Y9" s="194" t="str">
        <f t="shared" si="0"/>
        <v>So</v>
      </c>
      <c r="Z9" s="194" t="str">
        <f t="shared" si="0"/>
        <v>Mo</v>
      </c>
      <c r="AA9" s="194" t="str">
        <f t="shared" si="0"/>
        <v>Di</v>
      </c>
      <c r="AB9" s="194" t="str">
        <f t="shared" si="0"/>
        <v>Mi</v>
      </c>
      <c r="AC9" s="194" t="str">
        <f t="shared" si="0"/>
        <v>Do</v>
      </c>
      <c r="AD9" s="194" t="str">
        <f t="shared" si="0"/>
        <v>Fr</v>
      </c>
      <c r="AE9" s="194" t="str">
        <f t="shared" si="0"/>
        <v>Sa</v>
      </c>
      <c r="AF9" s="194" t="str">
        <f t="shared" si="0"/>
        <v>So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43281</v>
      </c>
      <c r="C10" s="196">
        <f>B10+1</f>
        <v>43282</v>
      </c>
      <c r="D10" s="196">
        <f t="shared" ref="D10:AF10" si="1">C10+1</f>
        <v>43283</v>
      </c>
      <c r="E10" s="196">
        <f t="shared" si="1"/>
        <v>43284</v>
      </c>
      <c r="F10" s="196">
        <f t="shared" si="1"/>
        <v>43285</v>
      </c>
      <c r="G10" s="196">
        <f t="shared" si="1"/>
        <v>43286</v>
      </c>
      <c r="H10" s="196">
        <f t="shared" si="1"/>
        <v>43287</v>
      </c>
      <c r="I10" s="196">
        <f t="shared" si="1"/>
        <v>43288</v>
      </c>
      <c r="J10" s="196">
        <f t="shared" si="1"/>
        <v>43289</v>
      </c>
      <c r="K10" s="196">
        <f t="shared" si="1"/>
        <v>43290</v>
      </c>
      <c r="L10" s="196">
        <f t="shared" si="1"/>
        <v>43291</v>
      </c>
      <c r="M10" s="196">
        <f t="shared" si="1"/>
        <v>43292</v>
      </c>
      <c r="N10" s="196">
        <f t="shared" si="1"/>
        <v>43293</v>
      </c>
      <c r="O10" s="196">
        <f t="shared" si="1"/>
        <v>43294</v>
      </c>
      <c r="P10" s="196">
        <f t="shared" si="1"/>
        <v>43295</v>
      </c>
      <c r="Q10" s="196">
        <f t="shared" si="1"/>
        <v>43296</v>
      </c>
      <c r="R10" s="196">
        <f t="shared" si="1"/>
        <v>43297</v>
      </c>
      <c r="S10" s="196">
        <f t="shared" si="1"/>
        <v>43298</v>
      </c>
      <c r="T10" s="196">
        <f t="shared" si="1"/>
        <v>43299</v>
      </c>
      <c r="U10" s="196">
        <f t="shared" si="1"/>
        <v>43300</v>
      </c>
      <c r="V10" s="196">
        <f t="shared" si="1"/>
        <v>43301</v>
      </c>
      <c r="W10" s="196">
        <f t="shared" si="1"/>
        <v>43302</v>
      </c>
      <c r="X10" s="196">
        <f t="shared" si="1"/>
        <v>43303</v>
      </c>
      <c r="Y10" s="196">
        <f t="shared" si="1"/>
        <v>43304</v>
      </c>
      <c r="Z10" s="196">
        <f t="shared" si="1"/>
        <v>43305</v>
      </c>
      <c r="AA10" s="196">
        <f t="shared" si="1"/>
        <v>43306</v>
      </c>
      <c r="AB10" s="196">
        <f t="shared" si="1"/>
        <v>43307</v>
      </c>
      <c r="AC10" s="196">
        <f t="shared" si="1"/>
        <v>43308</v>
      </c>
      <c r="AD10" s="196">
        <f t="shared" si="1"/>
        <v>43309</v>
      </c>
      <c r="AE10" s="196">
        <f t="shared" si="1"/>
        <v>43310</v>
      </c>
      <c r="AF10" s="196">
        <f t="shared" si="1"/>
        <v>43311</v>
      </c>
      <c r="AG10" s="197" t="str">
        <f t="shared" ref="AG10:AG56" si="2">A10</f>
        <v>Tag</v>
      </c>
      <c r="AH10" s="485" t="str">
        <f>"Total " &amp; INDEX(EB.Monate.Bereich,MONTH(Monat.Tag1))</f>
        <v>Total Juli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1</v>
      </c>
      <c r="C11" s="201">
        <f t="shared" ca="1" si="3"/>
        <v>1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1</v>
      </c>
      <c r="Z11" s="203">
        <f t="shared" ca="1" si="3"/>
        <v>1</v>
      </c>
      <c r="AA11" s="201">
        <f t="shared" ca="1" si="3"/>
        <v>1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1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0.35</v>
      </c>
      <c r="C52" s="78">
        <f t="shared" ca="1" si="14"/>
        <v>0</v>
      </c>
      <c r="D52" s="79">
        <f t="shared" ca="1" si="14"/>
        <v>0</v>
      </c>
      <c r="E52" s="78">
        <f t="shared" ca="1" si="14"/>
        <v>0.35</v>
      </c>
      <c r="F52" s="79">
        <f t="shared" ca="1" si="14"/>
        <v>0.35</v>
      </c>
      <c r="G52" s="79">
        <f t="shared" ca="1" si="14"/>
        <v>0.35</v>
      </c>
      <c r="H52" s="79">
        <f t="shared" ca="1" si="14"/>
        <v>0.35</v>
      </c>
      <c r="I52" s="79">
        <f t="shared" ca="1" si="14"/>
        <v>0.35</v>
      </c>
      <c r="J52" s="78">
        <f t="shared" ca="1" si="14"/>
        <v>0</v>
      </c>
      <c r="K52" s="79">
        <f t="shared" ca="1" si="14"/>
        <v>0</v>
      </c>
      <c r="L52" s="78">
        <f t="shared" ca="1" si="14"/>
        <v>0.35</v>
      </c>
      <c r="M52" s="79">
        <f t="shared" ca="1" si="14"/>
        <v>0.35</v>
      </c>
      <c r="N52" s="79">
        <f t="shared" ca="1" si="14"/>
        <v>0.35</v>
      </c>
      <c r="O52" s="79">
        <f t="shared" ca="1" si="14"/>
        <v>0.35</v>
      </c>
      <c r="P52" s="79">
        <f t="shared" ca="1" si="14"/>
        <v>0.35</v>
      </c>
      <c r="Q52" s="78">
        <f t="shared" ca="1" si="14"/>
        <v>0</v>
      </c>
      <c r="R52" s="79">
        <f t="shared" ca="1" si="14"/>
        <v>0</v>
      </c>
      <c r="S52" s="78">
        <f t="shared" ca="1" si="14"/>
        <v>0.35</v>
      </c>
      <c r="T52" s="78">
        <f t="shared" ca="1" si="14"/>
        <v>0.35</v>
      </c>
      <c r="U52" s="79">
        <f t="shared" ca="1" si="14"/>
        <v>0.35</v>
      </c>
      <c r="V52" s="79">
        <f t="shared" ca="1" si="14"/>
        <v>0.35</v>
      </c>
      <c r="W52" s="79">
        <f t="shared" ca="1" si="14"/>
        <v>0.35</v>
      </c>
      <c r="X52" s="78">
        <f t="shared" ca="1" si="14"/>
        <v>0</v>
      </c>
      <c r="Y52" s="79">
        <f t="shared" ca="1" si="14"/>
        <v>0</v>
      </c>
      <c r="Z52" s="80">
        <f t="shared" ca="1" si="14"/>
        <v>0.35</v>
      </c>
      <c r="AA52" s="79">
        <f t="shared" ca="1" si="14"/>
        <v>0.35</v>
      </c>
      <c r="AB52" s="79">
        <f t="shared" ca="1" si="14"/>
        <v>0.35</v>
      </c>
      <c r="AC52" s="79">
        <f t="shared" ca="1" si="14"/>
        <v>0.35</v>
      </c>
      <c r="AD52" s="79">
        <f t="shared" ca="1" si="14"/>
        <v>0.35</v>
      </c>
      <c r="AE52" s="78">
        <f t="shared" ca="1" si="14"/>
        <v>0</v>
      </c>
      <c r="AF52" s="79">
        <f t="shared" ca="1" si="14"/>
        <v>0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0.35</v>
      </c>
      <c r="C53" s="239">
        <f t="shared" ca="1" si="15"/>
        <v>0</v>
      </c>
      <c r="D53" s="239">
        <f t="shared" ca="1" si="15"/>
        <v>0</v>
      </c>
      <c r="E53" s="239">
        <f t="shared" ca="1" si="15"/>
        <v>0.35</v>
      </c>
      <c r="F53" s="239">
        <f t="shared" ca="1" si="15"/>
        <v>0.35</v>
      </c>
      <c r="G53" s="239">
        <f t="shared" ca="1" si="15"/>
        <v>0.35</v>
      </c>
      <c r="H53" s="239">
        <f t="shared" ca="1" si="15"/>
        <v>0.35</v>
      </c>
      <c r="I53" s="239">
        <f t="shared" ca="1" si="15"/>
        <v>0.35</v>
      </c>
      <c r="J53" s="239">
        <f t="shared" ca="1" si="15"/>
        <v>0</v>
      </c>
      <c r="K53" s="239">
        <f t="shared" ca="1" si="15"/>
        <v>0</v>
      </c>
      <c r="L53" s="239">
        <f t="shared" ca="1" si="15"/>
        <v>0.35</v>
      </c>
      <c r="M53" s="239">
        <f t="shared" ca="1" si="15"/>
        <v>0.35</v>
      </c>
      <c r="N53" s="239">
        <f t="shared" ca="1" si="15"/>
        <v>0.35</v>
      </c>
      <c r="O53" s="239">
        <f t="shared" ca="1" si="15"/>
        <v>0.35</v>
      </c>
      <c r="P53" s="239">
        <f t="shared" ca="1" si="15"/>
        <v>0.35</v>
      </c>
      <c r="Q53" s="239">
        <f t="shared" ca="1" si="15"/>
        <v>0</v>
      </c>
      <c r="R53" s="239">
        <f t="shared" ca="1" si="15"/>
        <v>0</v>
      </c>
      <c r="S53" s="239">
        <f t="shared" ca="1" si="15"/>
        <v>0.35</v>
      </c>
      <c r="T53" s="239">
        <f t="shared" ca="1" si="15"/>
        <v>0.35</v>
      </c>
      <c r="U53" s="239">
        <f t="shared" ca="1" si="15"/>
        <v>0.35</v>
      </c>
      <c r="V53" s="239">
        <f t="shared" ca="1" si="15"/>
        <v>0.35</v>
      </c>
      <c r="W53" s="239">
        <f t="shared" ca="1" si="15"/>
        <v>0.35</v>
      </c>
      <c r="X53" s="239">
        <f t="shared" ca="1" si="15"/>
        <v>0</v>
      </c>
      <c r="Y53" s="239">
        <f t="shared" ca="1" si="15"/>
        <v>0</v>
      </c>
      <c r="Z53" s="239">
        <f t="shared" ca="1" si="15"/>
        <v>0.35</v>
      </c>
      <c r="AA53" s="239">
        <f t="shared" ca="1" si="15"/>
        <v>0.35</v>
      </c>
      <c r="AB53" s="239">
        <f t="shared" ca="1" si="15"/>
        <v>0.35</v>
      </c>
      <c r="AC53" s="239">
        <f t="shared" ca="1" si="15"/>
        <v>0.35</v>
      </c>
      <c r="AD53" s="239">
        <f t="shared" ca="1" si="15"/>
        <v>0.35</v>
      </c>
      <c r="AE53" s="239">
        <f t="shared" ca="1" si="15"/>
        <v>0</v>
      </c>
      <c r="AF53" s="239">
        <f t="shared" ca="1" si="15"/>
        <v>0</v>
      </c>
      <c r="AG53" s="204" t="str">
        <f t="shared" si="2"/>
        <v>Arbeitszeit SOLL gem. BG</v>
      </c>
      <c r="AH53" s="217"/>
      <c r="AI53" s="237">
        <f ca="1">SUM(B53:AF53)</f>
        <v>7.349999999999997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0.35</v>
      </c>
      <c r="C54" s="239">
        <f t="shared" ca="1" si="16"/>
        <v>0</v>
      </c>
      <c r="D54" s="240">
        <f t="shared" ca="1" si="16"/>
        <v>0</v>
      </c>
      <c r="E54" s="239">
        <f t="shared" ca="1" si="16"/>
        <v>0.35</v>
      </c>
      <c r="F54" s="240">
        <f t="shared" ca="1" si="16"/>
        <v>0.35</v>
      </c>
      <c r="G54" s="240">
        <f t="shared" ca="1" si="16"/>
        <v>0.35</v>
      </c>
      <c r="H54" s="240">
        <f t="shared" ca="1" si="16"/>
        <v>0.35</v>
      </c>
      <c r="I54" s="240">
        <f t="shared" ca="1" si="16"/>
        <v>0.35</v>
      </c>
      <c r="J54" s="239">
        <f t="shared" ca="1" si="16"/>
        <v>0</v>
      </c>
      <c r="K54" s="240">
        <f t="shared" ca="1" si="16"/>
        <v>0</v>
      </c>
      <c r="L54" s="239">
        <f t="shared" ca="1" si="16"/>
        <v>0.35</v>
      </c>
      <c r="M54" s="240">
        <f t="shared" ca="1" si="16"/>
        <v>0.35</v>
      </c>
      <c r="N54" s="240">
        <f t="shared" ca="1" si="16"/>
        <v>0.35</v>
      </c>
      <c r="O54" s="240">
        <f t="shared" ca="1" si="16"/>
        <v>0.35</v>
      </c>
      <c r="P54" s="240">
        <f t="shared" ca="1" si="16"/>
        <v>0.35</v>
      </c>
      <c r="Q54" s="239">
        <f t="shared" ca="1" si="16"/>
        <v>0</v>
      </c>
      <c r="R54" s="240">
        <f t="shared" ca="1" si="16"/>
        <v>0</v>
      </c>
      <c r="S54" s="239">
        <f t="shared" ca="1" si="16"/>
        <v>0.35</v>
      </c>
      <c r="T54" s="239">
        <f t="shared" ca="1" si="16"/>
        <v>0.35</v>
      </c>
      <c r="U54" s="240">
        <f t="shared" ca="1" si="16"/>
        <v>0.35</v>
      </c>
      <c r="V54" s="240">
        <f t="shared" ca="1" si="16"/>
        <v>0.35</v>
      </c>
      <c r="W54" s="240">
        <f t="shared" ca="1" si="16"/>
        <v>0.35</v>
      </c>
      <c r="X54" s="239">
        <f t="shared" ca="1" si="16"/>
        <v>0</v>
      </c>
      <c r="Y54" s="240">
        <f t="shared" ca="1" si="16"/>
        <v>0</v>
      </c>
      <c r="Z54" s="241">
        <f t="shared" ca="1" si="16"/>
        <v>0.35</v>
      </c>
      <c r="AA54" s="240">
        <f t="shared" ca="1" si="16"/>
        <v>0.35</v>
      </c>
      <c r="AB54" s="240">
        <f t="shared" ca="1" si="16"/>
        <v>0.35</v>
      </c>
      <c r="AC54" s="240">
        <f t="shared" ca="1" si="16"/>
        <v>0.35</v>
      </c>
      <c r="AD54" s="240">
        <f t="shared" ca="1" si="16"/>
        <v>0.35</v>
      </c>
      <c r="AE54" s="239">
        <f t="shared" ca="1" si="16"/>
        <v>0</v>
      </c>
      <c r="AF54" s="240">
        <f t="shared" ca="1" si="16"/>
        <v>0</v>
      </c>
      <c r="AG54" s="204" t="str">
        <f t="shared" si="2"/>
        <v>Arbeitszeit SOLL 100%</v>
      </c>
      <c r="AH54" s="217"/>
      <c r="AI54" s="237">
        <f ca="1">SUM(B54:AF54)</f>
        <v>7.349999999999997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-0.35</v>
      </c>
      <c r="C55" s="233">
        <f t="shared" ref="C55:AF55" ca="1" si="17">ROUND((C51-C53)*1440,0)/1440</f>
        <v>0</v>
      </c>
      <c r="D55" s="233">
        <f t="shared" ca="1" si="17"/>
        <v>0</v>
      </c>
      <c r="E55" s="235">
        <f t="shared" ca="1" si="17"/>
        <v>-0.35</v>
      </c>
      <c r="F55" s="233">
        <f t="shared" ca="1" si="17"/>
        <v>-0.35</v>
      </c>
      <c r="G55" s="233">
        <f t="shared" ca="1" si="17"/>
        <v>-0.35</v>
      </c>
      <c r="H55" s="233">
        <f t="shared" ca="1" si="17"/>
        <v>-0.35</v>
      </c>
      <c r="I55" s="233">
        <f t="shared" ca="1" si="17"/>
        <v>-0.35</v>
      </c>
      <c r="J55" s="235">
        <f t="shared" ca="1" si="17"/>
        <v>0</v>
      </c>
      <c r="K55" s="233">
        <f t="shared" ca="1" si="17"/>
        <v>0</v>
      </c>
      <c r="L55" s="235">
        <f t="shared" ca="1" si="17"/>
        <v>-0.35</v>
      </c>
      <c r="M55" s="233">
        <f t="shared" ca="1" si="17"/>
        <v>-0.35</v>
      </c>
      <c r="N55" s="233">
        <f t="shared" ca="1" si="17"/>
        <v>-0.35</v>
      </c>
      <c r="O55" s="233">
        <f t="shared" ca="1" si="17"/>
        <v>-0.35</v>
      </c>
      <c r="P55" s="233">
        <f t="shared" ca="1" si="17"/>
        <v>-0.35</v>
      </c>
      <c r="Q55" s="235">
        <f t="shared" ca="1" si="17"/>
        <v>0</v>
      </c>
      <c r="R55" s="233">
        <f t="shared" ca="1" si="17"/>
        <v>0</v>
      </c>
      <c r="S55" s="235">
        <f t="shared" ca="1" si="17"/>
        <v>-0.35</v>
      </c>
      <c r="T55" s="235">
        <f t="shared" ca="1" si="17"/>
        <v>-0.35</v>
      </c>
      <c r="U55" s="233">
        <f t="shared" ca="1" si="17"/>
        <v>-0.35</v>
      </c>
      <c r="V55" s="233">
        <f t="shared" ca="1" si="17"/>
        <v>-0.35</v>
      </c>
      <c r="W55" s="233">
        <f t="shared" ca="1" si="17"/>
        <v>-0.35</v>
      </c>
      <c r="X55" s="235">
        <f t="shared" ca="1" si="17"/>
        <v>0</v>
      </c>
      <c r="Y55" s="233">
        <f t="shared" ca="1" si="17"/>
        <v>0</v>
      </c>
      <c r="Z55" s="236">
        <f t="shared" ca="1" si="17"/>
        <v>-0.35</v>
      </c>
      <c r="AA55" s="233">
        <f t="shared" ca="1" si="17"/>
        <v>-0.35</v>
      </c>
      <c r="AB55" s="233">
        <f t="shared" ca="1" si="17"/>
        <v>-0.35</v>
      </c>
      <c r="AC55" s="233">
        <f t="shared" ca="1" si="17"/>
        <v>-0.35</v>
      </c>
      <c r="AD55" s="233">
        <f t="shared" ca="1" si="17"/>
        <v>-0.35</v>
      </c>
      <c r="AE55" s="235">
        <f t="shared" ca="1" si="17"/>
        <v>0</v>
      </c>
      <c r="AF55" s="233">
        <f t="shared" ca="1" si="17"/>
        <v>0</v>
      </c>
      <c r="AG55" s="204" t="str">
        <f t="shared" si="2"/>
        <v>+/- SOLL/IST täglich</v>
      </c>
      <c r="AH55" s="217"/>
      <c r="AI55" s="237">
        <f ca="1">SUM(B55:AF55)</f>
        <v>-7.349999999999997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-7.349999999999997</v>
      </c>
      <c r="AM55" s="208"/>
      <c r="AN55" s="244">
        <f ca="1">IF(AH57="+",(AI55+AI57),(AI55-AI57))</f>
        <v>-7.349999999999997</v>
      </c>
      <c r="AO55" s="244">
        <f ca="1">SUM(OFFSET(J.AZSaldo.Total,-12,0,MONTH(Monat.Tag1),1))</f>
        <v>-50.72499999999998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1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0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0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1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1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0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0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1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1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0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0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1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1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0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0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1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1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1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0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0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2.625</v>
      </c>
      <c r="AM67" s="208"/>
      <c r="AN67" s="244">
        <f ca="1">AK67+AL67-Monat.KomAZ.Total</f>
        <v>3.0625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>
        <f t="shared" ref="B82:AF82" ca="1" si="30">IF(B$12=0,"",IF(OR(WEEKDAY(B$10,2)&gt;5,B$11=0),
IF(T.50_NoVetsuisse,B45,
IF(OR(T.50_Vetsuisse,T.ServiceCenterIrchel,T.MedizinischeMikrobiologie),IF(B23-B73=0,"",B23-B73),
B60)),))</f>
        <v>0</v>
      </c>
      <c r="C82" s="278" t="str">
        <f t="shared" ca="1" si="30"/>
        <v/>
      </c>
      <c r="D82" s="279" t="str">
        <f t="shared" ca="1" si="30"/>
        <v/>
      </c>
      <c r="E82" s="278">
        <f t="shared" ca="1" si="30"/>
        <v>0</v>
      </c>
      <c r="F82" s="279">
        <f t="shared" ca="1" si="30"/>
        <v>0</v>
      </c>
      <c r="G82" s="279">
        <f t="shared" ca="1" si="30"/>
        <v>0</v>
      </c>
      <c r="H82" s="279">
        <f t="shared" ca="1" si="30"/>
        <v>0</v>
      </c>
      <c r="I82" s="279">
        <f t="shared" ca="1" si="30"/>
        <v>0</v>
      </c>
      <c r="J82" s="278" t="str">
        <f t="shared" ca="1" si="30"/>
        <v/>
      </c>
      <c r="K82" s="279" t="str">
        <f t="shared" ca="1" si="30"/>
        <v/>
      </c>
      <c r="L82" s="278">
        <f t="shared" ca="1" si="30"/>
        <v>0</v>
      </c>
      <c r="M82" s="279">
        <f t="shared" ca="1" si="30"/>
        <v>0</v>
      </c>
      <c r="N82" s="279">
        <f t="shared" ca="1" si="30"/>
        <v>0</v>
      </c>
      <c r="O82" s="279">
        <f t="shared" ca="1" si="30"/>
        <v>0</v>
      </c>
      <c r="P82" s="279">
        <f t="shared" ca="1" si="30"/>
        <v>0</v>
      </c>
      <c r="Q82" s="278" t="str">
        <f t="shared" ca="1" si="30"/>
        <v/>
      </c>
      <c r="R82" s="279" t="str">
        <f t="shared" ca="1" si="30"/>
        <v/>
      </c>
      <c r="S82" s="278">
        <f t="shared" ca="1" si="30"/>
        <v>0</v>
      </c>
      <c r="T82" s="278">
        <f t="shared" ca="1" si="30"/>
        <v>0</v>
      </c>
      <c r="U82" s="279">
        <f t="shared" ca="1" si="30"/>
        <v>0</v>
      </c>
      <c r="V82" s="279">
        <f t="shared" ca="1" si="30"/>
        <v>0</v>
      </c>
      <c r="W82" s="279">
        <f t="shared" ca="1" si="30"/>
        <v>0</v>
      </c>
      <c r="X82" s="278" t="str">
        <f t="shared" ca="1" si="30"/>
        <v/>
      </c>
      <c r="Y82" s="279" t="str">
        <f t="shared" ca="1" si="30"/>
        <v/>
      </c>
      <c r="Z82" s="280">
        <f t="shared" ca="1" si="30"/>
        <v>0</v>
      </c>
      <c r="AA82" s="279">
        <f t="shared" ca="1" si="30"/>
        <v>0</v>
      </c>
      <c r="AB82" s="279">
        <f t="shared" ca="1" si="30"/>
        <v>0</v>
      </c>
      <c r="AC82" s="279">
        <f t="shared" ca="1" si="30"/>
        <v>0</v>
      </c>
      <c r="AD82" s="279">
        <f t="shared" ca="1" si="30"/>
        <v>0</v>
      </c>
      <c r="AE82" s="278" t="str">
        <f t="shared" ca="1" si="30"/>
        <v/>
      </c>
      <c r="AF82" s="279" t="str">
        <f t="shared" ca="1" si="30"/>
        <v/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174" priority="16">
      <formula>ABS(B$114)&gt;=ROUND(1/24/60,9)</formula>
    </cfRule>
  </conditionalFormatting>
  <conditionalFormatting sqref="B13:AF22 B34:AF44 B25:AF30 B60:AF61 B67:AF67 B71:AF72 B84:AF84 B86:AF95 B97:AF111">
    <cfRule type="expression" dxfId="173" priority="14">
      <formula>WEEKDAY(B$10,2)&gt;5</formula>
    </cfRule>
    <cfRule type="expression" dxfId="172" priority="15">
      <formula>AND(NOT(ISERROR(MATCH(B$10,T.Feiertage.Bereich,0))),OFFSET(T.Feiertage.Bereich,MATCH(B$10,T.Feiertage.Bereich,0)-1,1,1,1)&gt;0)</formula>
    </cfRule>
    <cfRule type="expression" dxfId="171" priority="17">
      <formula>B$11=0</formula>
    </cfRule>
  </conditionalFormatting>
  <conditionalFormatting sqref="AN60:AO60">
    <cfRule type="expression" dxfId="170" priority="22">
      <formula>AND(T.50_Vetsuisse,AN60&gt;=T.GrenzeAngÜZ50_Vetsuisse)</formula>
    </cfRule>
    <cfRule type="expression" dxfId="169" priority="23">
      <formula>AND(T.50_Vetsuisse,AN60&gt;T.GrenzeAngÜZ50_Vetsuisse*T.AngÜZ50_Vetsuisse_orange)</formula>
    </cfRule>
  </conditionalFormatting>
  <conditionalFormatting sqref="B56:AF56">
    <cfRule type="expression" dxfId="168" priority="8">
      <formula>AND(B$10&gt;TODAY(),EB.UJAustritt="")</formula>
    </cfRule>
    <cfRule type="expression" dxfId="167" priority="9">
      <formula>B$56&gt;99.99/24</formula>
    </cfRule>
    <cfRule type="expression" dxfId="166" priority="11">
      <formula>B$56&lt;99.99/24*-1</formula>
    </cfRule>
  </conditionalFormatting>
  <conditionalFormatting sqref="AO55:AP55">
    <cfRule type="cellIs" dxfId="165" priority="24" operator="greaterThan">
      <formula>1/24/60</formula>
    </cfRule>
    <cfRule type="expression" dxfId="164" priority="25">
      <formula>AND(AO55&lt;=1/24/60*-1,TODAY()&gt;=DATE(EB.Jahr,MONTH(12),DAY(31)))</formula>
    </cfRule>
  </conditionalFormatting>
  <conditionalFormatting sqref="B56:AF56 AI58">
    <cfRule type="expression" dxfId="163" priority="10">
      <formula>B$56&gt;1/24/60</formula>
    </cfRule>
    <cfRule type="expression" dxfId="162" priority="12">
      <formula>AND(B$56&lt;=1/24/60*-1,B$56)</formula>
    </cfRule>
  </conditionalFormatting>
  <conditionalFormatting sqref="B14:AF22 B36:AF44 B26:AF30">
    <cfRule type="expression" dxfId="161" priority="6">
      <formula>AND(B14&lt;B13,B14&lt;&gt;"")</formula>
    </cfRule>
  </conditionalFormatting>
  <conditionalFormatting sqref="B72:AF73">
    <cfRule type="expression" dxfId="160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159" priority="18">
      <formula>$P$4&lt;&gt;""</formula>
    </cfRule>
  </conditionalFormatting>
  <conditionalFormatting sqref="V4">
    <cfRule type="expression" dxfId="158" priority="19">
      <formula>$V$4&lt;&gt;""</formula>
    </cfRule>
  </conditionalFormatting>
  <conditionalFormatting sqref="AP60">
    <cfRule type="expression" dxfId="157" priority="26">
      <formula>AND(T.50_Vetsuisse,AP60&gt;=T.GrenzeAngÜZ50_Vetsuisse)</formula>
    </cfRule>
    <cfRule type="expression" dxfId="156" priority="27">
      <formula>AND(T.50_Vetsuisse,AP60&gt;T.GrenzeAngÜZ50_Vetsuisse*T.AngÜZ50_Vetsuisse_orange)</formula>
    </cfRule>
  </conditionalFormatting>
  <conditionalFormatting sqref="AJ72:AJ73">
    <cfRule type="expression" dxfId="155" priority="20">
      <formula>AND(T.50_Vetsuisse,$AJ$72&lt;&gt;$AJ$73)</formula>
    </cfRule>
    <cfRule type="expression" dxfId="154" priority="21">
      <formula>$AJ$72&gt;$AJ$73</formula>
    </cfRule>
  </conditionalFormatting>
  <conditionalFormatting sqref="B55:AF55">
    <cfRule type="expression" dxfId="153" priority="7">
      <formula>AND(B$10&lt;=TODAY(),B$55&lt;1/24/60*-1)</formula>
    </cfRule>
  </conditionalFormatting>
  <conditionalFormatting sqref="AG67 AG84">
    <cfRule type="expression" dxfId="152" priority="5">
      <formula>AG67&lt;&gt;A67</formula>
    </cfRule>
  </conditionalFormatting>
  <conditionalFormatting sqref="B67:AF67">
    <cfRule type="expression" dxfId="151" priority="4">
      <formula>AND(B66=0,B67&gt;0)</formula>
    </cfRule>
  </conditionalFormatting>
  <conditionalFormatting sqref="B34:AF34">
    <cfRule type="expression" dxfId="150" priority="3">
      <formula>T.MedizinischeMikrobiologie</formula>
    </cfRule>
  </conditionalFormatting>
  <conditionalFormatting sqref="AK51">
    <cfRule type="expression" dxfId="149" priority="2">
      <formula>ISNUMBER(AK51)</formula>
    </cfRule>
  </conditionalFormatting>
  <conditionalFormatting sqref="AN51">
    <cfRule type="expression" dxfId="148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F52AB693-FD0C-4C51-A4EE-C964934F74CB}">
      <formula1>T.JaNein.Bereich</formula1>
    </dataValidation>
    <dataValidation type="list" allowBlank="1" showInputMessage="1" showErrorMessage="1" errorTitle="Pikett Bereitschaft" error="Bitte wählen Sie einen Wert aus der Liste." sqref="B34:AF34" xr:uid="{78ED427E-7943-4EB0-8EC9-07718A324087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B38F-5597-4ABA-95BD-2501D45C530C}">
  <sheetPr>
    <pageSetUpPr autoPageBreaks="0" fitToPage="1"/>
  </sheetPr>
  <dimension ref="A1:AQ140"/>
  <sheetViews>
    <sheetView showGridLines="0" zoomScale="85" zoomScaleNormal="85" zoomScalePageLayoutView="85" workbookViewId="0">
      <pane xSplit="1" ySplit="12" topLeftCell="B13" activePane="bottomRight" state="frozenSplit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0.75" defaultRowHeight="12.75" outlineLevelRow="1" outlineLevelCol="1" x14ac:dyDescent="0.2"/>
  <cols>
    <col min="1" max="1" width="24.5" style="50" customWidth="1"/>
    <col min="2" max="32" width="5.75" style="50" customWidth="1"/>
    <col min="33" max="33" width="24.5" style="52" customWidth="1"/>
    <col min="34" max="34" width="2.125" style="53" customWidth="1"/>
    <col min="35" max="36" width="8.125" style="50" customWidth="1"/>
    <col min="37" max="37" width="15.875" style="50" hidden="1" customWidth="1" outlineLevel="1"/>
    <col min="38" max="39" width="14.25" style="50" hidden="1" customWidth="1" outlineLevel="1"/>
    <col min="40" max="40" width="9.375" style="37" customWidth="1" collapsed="1"/>
    <col min="41" max="42" width="8.125" style="50" customWidth="1"/>
    <col min="43" max="43" width="3.75" style="50" customWidth="1"/>
    <col min="44" max="16384" width="10.75" style="50"/>
  </cols>
  <sheetData>
    <row r="1" spans="1:43" s="54" customFormat="1" ht="22.5" customHeight="1" x14ac:dyDescent="0.2">
      <c r="A1" s="180" t="str">
        <f>INDEX(EB.Monate.Bereich,MONTH(Monat.Tag1)) &amp; " " &amp; EB.Jahr</f>
        <v>August 2022</v>
      </c>
      <c r="B1" s="469" t="str">
        <f>Eingabeblatt!B1</f>
        <v>Arbeitszeittabelle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100"/>
      <c r="N1" s="100"/>
      <c r="O1" s="100"/>
      <c r="P1" s="100"/>
      <c r="Q1" s="100"/>
      <c r="R1" s="181"/>
      <c r="S1" s="100"/>
      <c r="T1" s="100"/>
      <c r="U1" s="100"/>
      <c r="V1" s="182"/>
      <c r="W1" s="182"/>
      <c r="X1" s="100"/>
      <c r="Y1" s="181"/>
      <c r="Z1" s="100"/>
      <c r="AA1" s="100"/>
      <c r="AB1" s="100"/>
      <c r="AC1" s="100"/>
      <c r="AD1" s="100"/>
      <c r="AE1" s="100"/>
      <c r="AF1" s="100"/>
      <c r="AG1" s="183"/>
      <c r="AH1" s="184"/>
      <c r="AI1" s="100"/>
      <c r="AJ1" s="100"/>
      <c r="AK1" s="100"/>
      <c r="AL1" s="100"/>
      <c r="AM1" s="100"/>
      <c r="AN1" s="439"/>
      <c r="AO1" s="497" t="str">
        <f>EB.Version</f>
        <v>Version 12.21</v>
      </c>
      <c r="AP1" s="497"/>
      <c r="AQ1" s="102" t="str">
        <f>EB.Sprache</f>
        <v>DE</v>
      </c>
    </row>
    <row r="2" spans="1:43" s="38" customFormat="1" ht="15" customHeight="1" x14ac:dyDescent="0.2">
      <c r="A2" s="134"/>
      <c r="B2" s="460" t="str">
        <f>Eingabeblatt!A3</f>
        <v>Name</v>
      </c>
      <c r="C2" s="473"/>
      <c r="D2" s="473"/>
      <c r="E2" s="461"/>
      <c r="F2" s="498" t="str">
        <f>IF(EB.Name="","?",EB.Name)</f>
        <v>?</v>
      </c>
      <c r="G2" s="499"/>
      <c r="H2" s="499"/>
      <c r="I2" s="499"/>
      <c r="J2" s="499"/>
      <c r="K2" s="499"/>
      <c r="L2" s="499"/>
      <c r="M2" s="499"/>
      <c r="N2" s="500"/>
      <c r="O2" s="185"/>
      <c r="P2" s="460" t="str">
        <f>Eingabeblatt!J7</f>
        <v>Beschäftigungsgrad (BG) in %</v>
      </c>
      <c r="Q2" s="473"/>
      <c r="R2" s="473"/>
      <c r="S2" s="473"/>
      <c r="T2" s="473"/>
      <c r="U2" s="461"/>
      <c r="V2" s="14">
        <f>IF(INDEX(EB.EffBG.Bereich,MONTH(Monat.Tag1))="","-     ",INDEX(EB.EffBG.Bereich,MONTH(Monat.Tag1)))</f>
        <v>100</v>
      </c>
      <c r="W2" s="186"/>
      <c r="X2" s="186"/>
      <c r="Y2" s="107"/>
      <c r="Z2" s="118"/>
      <c r="AA2" s="118"/>
      <c r="AB2" s="118"/>
      <c r="AC2" s="118"/>
      <c r="AD2" s="118"/>
      <c r="AE2" s="118"/>
      <c r="AF2" s="118"/>
      <c r="AG2" s="105"/>
      <c r="AH2" s="187"/>
      <c r="AI2" s="118"/>
      <c r="AJ2" s="118"/>
      <c r="AK2" s="118"/>
      <c r="AL2" s="118"/>
      <c r="AM2" s="118"/>
      <c r="AN2" s="188"/>
      <c r="AO2" s="118"/>
      <c r="AP2" s="118"/>
      <c r="AQ2" s="118"/>
    </row>
    <row r="3" spans="1:43" s="38" customFormat="1" ht="15" customHeight="1" x14ac:dyDescent="0.2">
      <c r="A3" s="189"/>
      <c r="B3" s="460" t="str">
        <f>Eingabeblatt!H2</f>
        <v>Funktion</v>
      </c>
      <c r="C3" s="473"/>
      <c r="D3" s="473"/>
      <c r="E3" s="461"/>
      <c r="F3" s="482" t="str">
        <f>EB.Funktion</f>
        <v>Funktionsbeschreibung</v>
      </c>
      <c r="G3" s="483"/>
      <c r="H3" s="483"/>
      <c r="I3" s="483"/>
      <c r="J3" s="483"/>
      <c r="K3" s="483"/>
      <c r="L3" s="483"/>
      <c r="M3" s="483"/>
      <c r="N3" s="484"/>
      <c r="O3" s="105"/>
      <c r="P3" s="460" t="str">
        <f>Eingabeblatt!J12</f>
        <v>ø Tagesarbeitszeit gem. BG</v>
      </c>
      <c r="Q3" s="473"/>
      <c r="R3" s="473"/>
      <c r="S3" s="473"/>
      <c r="T3" s="473"/>
      <c r="U3" s="461"/>
      <c r="V3" s="57">
        <f>IF(INDEX(EB.DurchSollTAZStd.Bereich,MONTH(Monat.Tag1))="","-     ",INDEX(EB.DurchSollTAZStd.Bereich,MONTH(Monat.Tag1)))</f>
        <v>0.35</v>
      </c>
      <c r="W3" s="190"/>
      <c r="X3" s="190"/>
      <c r="Y3" s="118"/>
      <c r="Z3" s="118"/>
      <c r="AA3" s="118"/>
      <c r="AB3" s="118"/>
      <c r="AC3" s="118"/>
      <c r="AD3" s="118"/>
      <c r="AE3" s="118"/>
      <c r="AF3" s="118"/>
      <c r="AG3" s="105"/>
      <c r="AH3" s="187"/>
      <c r="AI3" s="118"/>
      <c r="AJ3" s="118"/>
      <c r="AK3" s="118"/>
      <c r="AL3" s="118"/>
      <c r="AM3" s="118"/>
      <c r="AN3" s="188"/>
      <c r="AO3" s="118"/>
      <c r="AP3" s="118"/>
      <c r="AQ3" s="118"/>
    </row>
    <row r="4" spans="1:43" s="38" customFormat="1" ht="15" customHeight="1" x14ac:dyDescent="0.2">
      <c r="A4" s="189"/>
      <c r="B4" s="460" t="str">
        <f>Eingabeblatt!H3</f>
        <v>Institut/Abt.</v>
      </c>
      <c r="C4" s="473"/>
      <c r="D4" s="473"/>
      <c r="E4" s="461"/>
      <c r="F4" s="482" t="str">
        <f>EB.Institut</f>
        <v>Angabe Institut/Abteilung</v>
      </c>
      <c r="G4" s="483"/>
      <c r="H4" s="483"/>
      <c r="I4" s="483"/>
      <c r="J4" s="483"/>
      <c r="K4" s="483"/>
      <c r="L4" s="483"/>
      <c r="M4" s="483"/>
      <c r="N4" s="484"/>
      <c r="O4" s="105"/>
      <c r="P4" s="496" t="str">
        <f ca="1">IF(EB.ÜZZSBerechtigt=INDEX(T.JaNein.Bereich,1,1),IF(AND(OR(AND(EB.LKgr16=INDEX(T.JaNein.Bereich,1,1),EB.LKgr16ab&gt;EOMONTH(Monat.Tag1,0)),EB.LKgr16&lt;&gt;INDEX(T.JaNein.Bereich,1,1)),Monat.AZSoll.Total&gt;0),Eingabeblatt!J6,""),"")</f>
        <v/>
      </c>
      <c r="Q4" s="496"/>
      <c r="R4" s="496"/>
      <c r="S4" s="496"/>
      <c r="T4" s="496"/>
      <c r="U4" s="496"/>
      <c r="V4" s="191" t="str">
        <f ca="1">IF(P4&lt;&gt;"",EB.ÜZZSBerechtigt,"")</f>
        <v/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05"/>
      <c r="AH4" s="187"/>
      <c r="AI4" s="118"/>
      <c r="AJ4" s="118"/>
      <c r="AK4" s="118"/>
      <c r="AL4" s="118"/>
      <c r="AM4" s="118"/>
      <c r="AN4" s="188"/>
      <c r="AO4" s="118"/>
      <c r="AP4" s="118"/>
      <c r="AQ4" s="118"/>
    </row>
    <row r="5" spans="1:43" s="38" customFormat="1" ht="15" customHeight="1" x14ac:dyDescent="0.2">
      <c r="A5" s="189"/>
      <c r="B5" s="460" t="str">
        <f>Eingabeblatt!A5</f>
        <v>Personalnummer</v>
      </c>
      <c r="C5" s="473"/>
      <c r="D5" s="473"/>
      <c r="E5" s="461"/>
      <c r="F5" s="482" t="str">
        <f>IF(EB.Personalnummer="","?",EB.Personalnummer)</f>
        <v>?</v>
      </c>
      <c r="G5" s="483"/>
      <c r="H5" s="483"/>
      <c r="I5" s="483"/>
      <c r="J5" s="483"/>
      <c r="K5" s="483"/>
      <c r="L5" s="483"/>
      <c r="M5" s="483"/>
      <c r="N5" s="484"/>
      <c r="O5" s="105"/>
      <c r="P5" s="109" t="str">
        <f>LEFT(Eingabeblatt!A38,SEARCH("(",Eingabeblatt!A38,1)-2) &amp; IF(MONTH(Monat.Tag1)&gt;1,IF(EB.Sprache="EN"," (changes as of "," (Veränderungen ab ") &amp; INDEX(EB.Monate.Bereich,MONTH(Monat.Tag1))  &amp; IF(EB.Sprache="EN"," have to be entered here)"," hier eintragen)"),"")</f>
        <v>Regelarbeitszeit (Veränderungen ab August hier eintragen)</v>
      </c>
      <c r="Q5" s="105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31</v>
      </c>
      <c r="AG5" s="105"/>
      <c r="AH5" s="187"/>
      <c r="AI5" s="118"/>
      <c r="AJ5" s="118"/>
      <c r="AK5" s="118"/>
      <c r="AL5" s="118"/>
      <c r="AM5" s="118"/>
      <c r="AN5" s="188"/>
      <c r="AO5" s="118"/>
      <c r="AP5" s="118"/>
      <c r="AQ5" s="118"/>
    </row>
    <row r="6" spans="1:43" s="38" customFormat="1" ht="15" customHeight="1" x14ac:dyDescent="0.2">
      <c r="A6" s="189"/>
      <c r="B6" s="460" t="str">
        <f>Eingabeblatt!H4</f>
        <v>Fakultät</v>
      </c>
      <c r="C6" s="473"/>
      <c r="D6" s="473"/>
      <c r="E6" s="461"/>
      <c r="F6" s="482" t="str">
        <f>EB.Fakultaet</f>
        <v>Auswahl Fakultät</v>
      </c>
      <c r="G6" s="483"/>
      <c r="H6" s="483"/>
      <c r="I6" s="483"/>
      <c r="J6" s="483"/>
      <c r="K6" s="483"/>
      <c r="L6" s="483"/>
      <c r="M6" s="483"/>
      <c r="N6" s="484"/>
      <c r="O6" s="105"/>
      <c r="P6" s="192" t="str">
        <f>LEFT(INDEX(EB.RAZ_Wochentage.Bereich,1),2)</f>
        <v>Mo</v>
      </c>
      <c r="Q6" s="192" t="str">
        <f>LEFT(INDEX(EB.RAZ_Wochentage.Bereich,2),2)</f>
        <v>Di</v>
      </c>
      <c r="R6" s="192" t="str">
        <f>LEFT(INDEX(EB.RAZ_Wochentage.Bereich,3),2)</f>
        <v>Mi</v>
      </c>
      <c r="S6" s="192" t="str">
        <f>LEFT(INDEX(EB.RAZ_Wochentage.Bereich,4),2)</f>
        <v>Do</v>
      </c>
      <c r="T6" s="192" t="str">
        <f>LEFT(INDEX(EB.RAZ_Wochentage.Bereich,5),2)</f>
        <v>Fr</v>
      </c>
      <c r="U6" s="192" t="str">
        <f>LEFT(INDEX(EB.RAZ_Wochentage.Bereich,6),2)</f>
        <v>Sa</v>
      </c>
      <c r="V6" s="192" t="str">
        <f>LEFT(INDEX(EB.RAZ_Wochentage.Bereich,7),2)</f>
        <v>So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05"/>
      <c r="AH6" s="187"/>
      <c r="AI6" s="118"/>
      <c r="AJ6" s="118"/>
      <c r="AK6" s="118"/>
      <c r="AL6" s="118"/>
      <c r="AM6" s="118"/>
      <c r="AN6" s="188"/>
      <c r="AO6" s="118"/>
      <c r="AP6" s="118"/>
      <c r="AQ6" s="118"/>
    </row>
    <row r="7" spans="1:43" s="38" customFormat="1" ht="15" customHeight="1" x14ac:dyDescent="0.2">
      <c r="A7" s="189"/>
      <c r="B7" s="460" t="str">
        <f>Eingabeblatt!H5</f>
        <v>Personalkategorie</v>
      </c>
      <c r="C7" s="473"/>
      <c r="D7" s="473"/>
      <c r="E7" s="461"/>
      <c r="F7" s="482" t="str">
        <f>EB.Personalkategorie</f>
        <v>Auswahl Personalkategorie</v>
      </c>
      <c r="G7" s="483"/>
      <c r="H7" s="483"/>
      <c r="I7" s="483"/>
      <c r="J7" s="483"/>
      <c r="K7" s="483"/>
      <c r="L7" s="483"/>
      <c r="M7" s="483"/>
      <c r="N7" s="484"/>
      <c r="O7" s="105"/>
      <c r="P7" s="193">
        <f ca="1">IF(EB.Anwendung&lt;&gt;"",IF(MONTH(Monat.Tag1)=1,INDEX(EB.RAZ1_7.Bereich,1)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1)),"")</f>
        <v>0.35</v>
      </c>
      <c r="Q7" s="193">
        <f ca="1">IF(EB.Anwendung&lt;&gt;"",IF(MONTH(Monat.Tag1)=1,INDEX(EB.RAZ1_7.Bereich,2)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2)),"")</f>
        <v>0.35</v>
      </c>
      <c r="R7" s="193">
        <f ca="1">IF(EB.Anwendung&lt;&gt;"",IF(MONTH(Monat.Tag1)=1,INDEX(EB.RAZ1_7.Bereich,3)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3)),"")</f>
        <v>0.35</v>
      </c>
      <c r="S7" s="193">
        <f ca="1">IF(EB.Anwendung&lt;&gt;"",IF(MONTH(Monat.Tag1)=1,INDEX(EB.RAZ1_7.Bereich,4)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4)),"")</f>
        <v>0.35</v>
      </c>
      <c r="T7" s="193">
        <f ca="1">IF(EB.Anwendung&lt;&gt;"",IF(MONTH(Monat.Tag1)=1,INDEX(EB.RAZ1_7.Bereich,5)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5)),"")</f>
        <v>0.35</v>
      </c>
      <c r="U7" s="193">
        <f ca="1">IF(EB.Anwendung&lt;&gt;"",IF(MONTH(Monat.Tag1)=1,INDEX(EB.RAZ1_7.Bereich,6)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6)),"")</f>
        <v>0</v>
      </c>
      <c r="V7" s="193">
        <f ca="1">IF(EB.Anwendung&lt;&gt;"",IF(MONTH(Monat.Tag1)=1,INDEX(EB.RAZ1_7.Bereich,7),INDEX(IF(MONTH(Monat.Tag1)=2,Januar!Monat.RAZ1_7.Bereich,IF(MONTH(Monat.Tag1)=3,Februar!Monat.RAZ1_7.Bereich,IF(MONTH(Monat.Tag1)=4,März!Monat.RAZ1_7.Bereich,IF(MONTH(Monat.Tag1)=5,April!Monat.RAZ1_7.Bereich,IF(MONTH(Monat.Tag1)=6,Mai!Monat.RAZ1_7.Bereich,IF(MONTH(Monat.Tag1)=7,Juni!Monat.RAZ1_7.Bereich,IF(MONTH(Monat.Tag1)=8,Juli!Monat.RAZ1_7.Bereich,IF(MONTH(Monat.Tag1)=9,August!Monat.RAZ1_7.Bereich,IF(MONTH(Monat.Tag1)=10,September!Monat.RAZ1_7.Bereich,IF(MONTH(Monat.Tag1)=11,Oktober!Monat.RAZ1_7.Bereich,IF(MONTH(Monat.Tag1)=12,November!Monat.RAZ1_7.Bereich,""))))))))))),7)),"")</f>
        <v>0</v>
      </c>
      <c r="W7" s="352">
        <f ca="1">SUM(Monat.RAZ1_7.Bereich)</f>
        <v>1.75</v>
      </c>
      <c r="X7" s="118"/>
      <c r="Y7" s="118"/>
      <c r="Z7" s="118"/>
      <c r="AA7" s="118"/>
      <c r="AB7" s="118"/>
      <c r="AC7" s="118"/>
      <c r="AD7" s="118"/>
      <c r="AE7" s="118"/>
      <c r="AF7" s="118"/>
      <c r="AG7" s="105"/>
      <c r="AH7" s="187"/>
      <c r="AI7" s="118"/>
      <c r="AJ7" s="118"/>
      <c r="AK7" s="118"/>
      <c r="AL7" s="118"/>
      <c r="AM7" s="118"/>
      <c r="AN7" s="188"/>
      <c r="AO7" s="118"/>
      <c r="AP7" s="118"/>
      <c r="AQ7" s="118"/>
    </row>
    <row r="8" spans="1:43" s="38" customFormat="1" ht="11.25" customHeight="1" x14ac:dyDescent="0.2">
      <c r="A8" s="13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05"/>
      <c r="AH8" s="187"/>
      <c r="AI8" s="118"/>
      <c r="AJ8" s="118"/>
      <c r="AK8" s="118"/>
      <c r="AL8" s="118"/>
      <c r="AM8" s="118"/>
      <c r="AN8" s="188"/>
      <c r="AO8" s="118"/>
      <c r="AP8" s="118"/>
      <c r="AQ8" s="118"/>
    </row>
    <row r="9" spans="1:43" s="38" customFormat="1" ht="15" customHeight="1" x14ac:dyDescent="0.2">
      <c r="A9" s="134"/>
      <c r="B9" s="194" t="str">
        <f t="shared" ref="B9:AF9" si="0">INDEX(Monat.Wochentage.Bereich,1,WEEKDAY(B10,2))</f>
        <v>Mo</v>
      </c>
      <c r="C9" s="194" t="str">
        <f t="shared" si="0"/>
        <v>Di</v>
      </c>
      <c r="D9" s="194" t="str">
        <f t="shared" si="0"/>
        <v>Mi</v>
      </c>
      <c r="E9" s="194" t="str">
        <f t="shared" si="0"/>
        <v>Do</v>
      </c>
      <c r="F9" s="194" t="str">
        <f t="shared" si="0"/>
        <v>Fr</v>
      </c>
      <c r="G9" s="194" t="str">
        <f t="shared" si="0"/>
        <v>Sa</v>
      </c>
      <c r="H9" s="194" t="str">
        <f t="shared" si="0"/>
        <v>So</v>
      </c>
      <c r="I9" s="194" t="str">
        <f t="shared" si="0"/>
        <v>Mo</v>
      </c>
      <c r="J9" s="194" t="str">
        <f t="shared" si="0"/>
        <v>Di</v>
      </c>
      <c r="K9" s="194" t="str">
        <f t="shared" si="0"/>
        <v>Mi</v>
      </c>
      <c r="L9" s="194" t="str">
        <f t="shared" si="0"/>
        <v>Do</v>
      </c>
      <c r="M9" s="194" t="str">
        <f t="shared" si="0"/>
        <v>Fr</v>
      </c>
      <c r="N9" s="194" t="str">
        <f t="shared" si="0"/>
        <v>Sa</v>
      </c>
      <c r="O9" s="194" t="str">
        <f t="shared" si="0"/>
        <v>So</v>
      </c>
      <c r="P9" s="194" t="str">
        <f t="shared" si="0"/>
        <v>Mo</v>
      </c>
      <c r="Q9" s="194" t="str">
        <f t="shared" si="0"/>
        <v>Di</v>
      </c>
      <c r="R9" s="194" t="str">
        <f t="shared" si="0"/>
        <v>Mi</v>
      </c>
      <c r="S9" s="194" t="str">
        <f t="shared" si="0"/>
        <v>Do</v>
      </c>
      <c r="T9" s="194" t="str">
        <f t="shared" si="0"/>
        <v>Fr</v>
      </c>
      <c r="U9" s="194" t="str">
        <f t="shared" si="0"/>
        <v>Sa</v>
      </c>
      <c r="V9" s="194" t="str">
        <f t="shared" si="0"/>
        <v>So</v>
      </c>
      <c r="W9" s="194" t="str">
        <f t="shared" si="0"/>
        <v>Mo</v>
      </c>
      <c r="X9" s="194" t="str">
        <f t="shared" si="0"/>
        <v>Di</v>
      </c>
      <c r="Y9" s="194" t="str">
        <f t="shared" si="0"/>
        <v>Mi</v>
      </c>
      <c r="Z9" s="194" t="str">
        <f t="shared" si="0"/>
        <v>Do</v>
      </c>
      <c r="AA9" s="194" t="str">
        <f t="shared" si="0"/>
        <v>Fr</v>
      </c>
      <c r="AB9" s="194" t="str">
        <f t="shared" si="0"/>
        <v>Sa</v>
      </c>
      <c r="AC9" s="194" t="str">
        <f t="shared" si="0"/>
        <v>So</v>
      </c>
      <c r="AD9" s="194" t="str">
        <f t="shared" si="0"/>
        <v>Mo</v>
      </c>
      <c r="AE9" s="194" t="str">
        <f t="shared" si="0"/>
        <v>Di</v>
      </c>
      <c r="AF9" s="194" t="str">
        <f t="shared" si="0"/>
        <v>Mi</v>
      </c>
      <c r="AG9" s="105"/>
      <c r="AH9" s="187"/>
      <c r="AI9" s="118"/>
      <c r="AJ9" s="118"/>
      <c r="AK9" s="118"/>
      <c r="AL9" s="118"/>
      <c r="AM9" s="118"/>
      <c r="AN9" s="188"/>
      <c r="AO9" s="118"/>
      <c r="AP9" s="118"/>
      <c r="AQ9" s="118"/>
    </row>
    <row r="10" spans="1:43" s="59" customFormat="1" ht="25.5" x14ac:dyDescent="0.2">
      <c r="A10" s="195" t="s">
        <v>15</v>
      </c>
      <c r="B10" s="196">
        <v>43312</v>
      </c>
      <c r="C10" s="196">
        <f>B10+1</f>
        <v>43313</v>
      </c>
      <c r="D10" s="196">
        <f t="shared" ref="D10:AF10" si="1">C10+1</f>
        <v>43314</v>
      </c>
      <c r="E10" s="196">
        <f t="shared" si="1"/>
        <v>43315</v>
      </c>
      <c r="F10" s="196">
        <f t="shared" si="1"/>
        <v>43316</v>
      </c>
      <c r="G10" s="196">
        <f t="shared" si="1"/>
        <v>43317</v>
      </c>
      <c r="H10" s="196">
        <f t="shared" si="1"/>
        <v>43318</v>
      </c>
      <c r="I10" s="196">
        <f t="shared" si="1"/>
        <v>43319</v>
      </c>
      <c r="J10" s="196">
        <f t="shared" si="1"/>
        <v>43320</v>
      </c>
      <c r="K10" s="196">
        <f t="shared" si="1"/>
        <v>43321</v>
      </c>
      <c r="L10" s="196">
        <f t="shared" si="1"/>
        <v>43322</v>
      </c>
      <c r="M10" s="196">
        <f t="shared" si="1"/>
        <v>43323</v>
      </c>
      <c r="N10" s="196">
        <f t="shared" si="1"/>
        <v>43324</v>
      </c>
      <c r="O10" s="196">
        <f t="shared" si="1"/>
        <v>43325</v>
      </c>
      <c r="P10" s="196">
        <f t="shared" si="1"/>
        <v>43326</v>
      </c>
      <c r="Q10" s="196">
        <f t="shared" si="1"/>
        <v>43327</v>
      </c>
      <c r="R10" s="196">
        <f t="shared" si="1"/>
        <v>43328</v>
      </c>
      <c r="S10" s="196">
        <f t="shared" si="1"/>
        <v>43329</v>
      </c>
      <c r="T10" s="196">
        <f t="shared" si="1"/>
        <v>43330</v>
      </c>
      <c r="U10" s="196">
        <f t="shared" si="1"/>
        <v>43331</v>
      </c>
      <c r="V10" s="196">
        <f t="shared" si="1"/>
        <v>43332</v>
      </c>
      <c r="W10" s="196">
        <f t="shared" si="1"/>
        <v>43333</v>
      </c>
      <c r="X10" s="196">
        <f t="shared" si="1"/>
        <v>43334</v>
      </c>
      <c r="Y10" s="196">
        <f t="shared" si="1"/>
        <v>43335</v>
      </c>
      <c r="Z10" s="196">
        <f t="shared" si="1"/>
        <v>43336</v>
      </c>
      <c r="AA10" s="196">
        <f t="shared" si="1"/>
        <v>43337</v>
      </c>
      <c r="AB10" s="196">
        <f t="shared" si="1"/>
        <v>43338</v>
      </c>
      <c r="AC10" s="196">
        <f t="shared" si="1"/>
        <v>43339</v>
      </c>
      <c r="AD10" s="196">
        <f t="shared" si="1"/>
        <v>43340</v>
      </c>
      <c r="AE10" s="196">
        <f t="shared" si="1"/>
        <v>43341</v>
      </c>
      <c r="AF10" s="196">
        <f t="shared" si="1"/>
        <v>43342</v>
      </c>
      <c r="AG10" s="197" t="str">
        <f t="shared" ref="AG10:AG56" si="2">A10</f>
        <v>Tag</v>
      </c>
      <c r="AH10" s="485" t="str">
        <f>"Total " &amp; INDEX(EB.Monate.Bereich,MONTH(Monat.Tag1))</f>
        <v>Total August</v>
      </c>
      <c r="AI10" s="486"/>
      <c r="AJ10" s="440" t="s">
        <v>232</v>
      </c>
      <c r="AK10" s="198" t="s">
        <v>141</v>
      </c>
      <c r="AL10" s="198" t="s">
        <v>32</v>
      </c>
      <c r="AM10" s="198" t="s">
        <v>224</v>
      </c>
      <c r="AN10" s="199" t="s">
        <v>35</v>
      </c>
      <c r="AO10" s="487" t="str">
        <f ca="1">IF(EB.Sprache="DE","Jahressaldo per" &amp; CHAR(10) &amp; "    ME       " &amp; IFERROR(TEXT(TODAY(),"[$-0007]"&amp;"TT.MM.JJ"),TEXT(TODAY(),"[$-0007]"&amp;"DD.MM.YY")),
"Yearly balance by" &amp; CHAR(10) &amp; "   eom      " &amp; IFERROR(TEXT(TODAY(),"[$-0809]"&amp;"DD.MM.YY"),TEXT(TODAY(),"[$-0809]"&amp;"TT.MM.JJ")))</f>
        <v>Jahressaldo per
    ME       06.12.21</v>
      </c>
      <c r="AP10" s="488"/>
      <c r="AQ10" s="200"/>
    </row>
    <row r="11" spans="1:43" s="59" customFormat="1" ht="12" hidden="1" customHeight="1" x14ac:dyDescent="0.2">
      <c r="A11" s="195" t="s">
        <v>181</v>
      </c>
      <c r="B11" s="201">
        <f t="shared" ref="B11:AF11" ca="1" si="3">IFERROR(OFFSET(T.Feiertage.Bereich,MATCH(B$10,T.Feiertage.Bereich,0)-1,1,1,1),1)</f>
        <v>0</v>
      </c>
      <c r="C11" s="201">
        <f t="shared" ca="1" si="3"/>
        <v>1</v>
      </c>
      <c r="D11" s="201">
        <f t="shared" ca="1" si="3"/>
        <v>1</v>
      </c>
      <c r="E11" s="202">
        <f t="shared" ca="1" si="3"/>
        <v>1</v>
      </c>
      <c r="F11" s="201">
        <f t="shared" ca="1" si="3"/>
        <v>1</v>
      </c>
      <c r="G11" s="201">
        <f t="shared" ca="1" si="3"/>
        <v>1</v>
      </c>
      <c r="H11" s="201">
        <f t="shared" ca="1" si="3"/>
        <v>1</v>
      </c>
      <c r="I11" s="201">
        <f t="shared" ca="1" si="3"/>
        <v>1</v>
      </c>
      <c r="J11" s="202">
        <f t="shared" ca="1" si="3"/>
        <v>1</v>
      </c>
      <c r="K11" s="201">
        <f t="shared" ca="1" si="3"/>
        <v>1</v>
      </c>
      <c r="L11" s="202">
        <f t="shared" ca="1" si="3"/>
        <v>1</v>
      </c>
      <c r="M11" s="201">
        <f t="shared" ca="1" si="3"/>
        <v>1</v>
      </c>
      <c r="N11" s="201">
        <f t="shared" ca="1" si="3"/>
        <v>1</v>
      </c>
      <c r="O11" s="201">
        <f t="shared" ca="1" si="3"/>
        <v>1</v>
      </c>
      <c r="P11" s="201">
        <f t="shared" ca="1" si="3"/>
        <v>1</v>
      </c>
      <c r="Q11" s="202">
        <f t="shared" ca="1" si="3"/>
        <v>1</v>
      </c>
      <c r="R11" s="201">
        <f t="shared" ca="1" si="3"/>
        <v>1</v>
      </c>
      <c r="S11" s="202">
        <f t="shared" ca="1" si="3"/>
        <v>1</v>
      </c>
      <c r="T11" s="202">
        <f t="shared" ca="1" si="3"/>
        <v>1</v>
      </c>
      <c r="U11" s="201">
        <f t="shared" ca="1" si="3"/>
        <v>1</v>
      </c>
      <c r="V11" s="201">
        <f t="shared" ca="1" si="3"/>
        <v>1</v>
      </c>
      <c r="W11" s="201">
        <f t="shared" ca="1" si="3"/>
        <v>1</v>
      </c>
      <c r="X11" s="202">
        <f t="shared" ca="1" si="3"/>
        <v>1</v>
      </c>
      <c r="Y11" s="201">
        <f t="shared" ca="1" si="3"/>
        <v>1</v>
      </c>
      <c r="Z11" s="203">
        <f t="shared" ca="1" si="3"/>
        <v>1</v>
      </c>
      <c r="AA11" s="201">
        <f t="shared" ca="1" si="3"/>
        <v>1</v>
      </c>
      <c r="AB11" s="201">
        <f t="shared" ca="1" si="3"/>
        <v>1</v>
      </c>
      <c r="AC11" s="201">
        <f t="shared" ca="1" si="3"/>
        <v>1</v>
      </c>
      <c r="AD11" s="201">
        <f t="shared" ca="1" si="3"/>
        <v>1</v>
      </c>
      <c r="AE11" s="202">
        <f t="shared" ca="1" si="3"/>
        <v>1</v>
      </c>
      <c r="AF11" s="201">
        <f t="shared" ca="1" si="3"/>
        <v>1</v>
      </c>
      <c r="AG11" s="204"/>
      <c r="AH11" s="187"/>
      <c r="AI11" s="205"/>
      <c r="AJ11" s="206"/>
      <c r="AK11" s="207"/>
      <c r="AL11" s="208"/>
      <c r="AM11" s="208"/>
      <c r="AN11" s="207"/>
      <c r="AO11" s="208"/>
      <c r="AP11" s="208"/>
      <c r="AQ11" s="200"/>
    </row>
    <row r="12" spans="1:43" s="59" customFormat="1" ht="12" hidden="1" customHeight="1" x14ac:dyDescent="0.2">
      <c r="A12" s="195" t="s">
        <v>191</v>
      </c>
      <c r="B12" s="209">
        <f t="shared" ref="B12:AF12" si="4">IF(OR(AND(ISNUMBER(EB.UJEintritt),EB.UJEintritt&gt;=B$10+1),AND(ISNUMBER(EB.UJAustritt),EB.UJAustritt&lt;=B$10-1)),0,1)</f>
        <v>1</v>
      </c>
      <c r="C12" s="209">
        <f t="shared" si="4"/>
        <v>1</v>
      </c>
      <c r="D12" s="209">
        <f t="shared" si="4"/>
        <v>1</v>
      </c>
      <c r="E12" s="194">
        <f t="shared" si="4"/>
        <v>1</v>
      </c>
      <c r="F12" s="209">
        <f t="shared" si="4"/>
        <v>1</v>
      </c>
      <c r="G12" s="209">
        <f t="shared" si="4"/>
        <v>1</v>
      </c>
      <c r="H12" s="209">
        <f t="shared" si="4"/>
        <v>1</v>
      </c>
      <c r="I12" s="209">
        <f t="shared" si="4"/>
        <v>1</v>
      </c>
      <c r="J12" s="194">
        <f t="shared" si="4"/>
        <v>1</v>
      </c>
      <c r="K12" s="209">
        <f t="shared" si="4"/>
        <v>1</v>
      </c>
      <c r="L12" s="194">
        <f t="shared" si="4"/>
        <v>1</v>
      </c>
      <c r="M12" s="209">
        <f t="shared" si="4"/>
        <v>1</v>
      </c>
      <c r="N12" s="209">
        <f t="shared" si="4"/>
        <v>1</v>
      </c>
      <c r="O12" s="209">
        <f t="shared" si="4"/>
        <v>1</v>
      </c>
      <c r="P12" s="209">
        <f t="shared" si="4"/>
        <v>1</v>
      </c>
      <c r="Q12" s="194">
        <f t="shared" si="4"/>
        <v>1</v>
      </c>
      <c r="R12" s="209">
        <f t="shared" si="4"/>
        <v>1</v>
      </c>
      <c r="S12" s="194">
        <f t="shared" si="4"/>
        <v>1</v>
      </c>
      <c r="T12" s="194">
        <f t="shared" si="4"/>
        <v>1</v>
      </c>
      <c r="U12" s="209">
        <f t="shared" si="4"/>
        <v>1</v>
      </c>
      <c r="V12" s="209">
        <f t="shared" si="4"/>
        <v>1</v>
      </c>
      <c r="W12" s="209">
        <f t="shared" si="4"/>
        <v>1</v>
      </c>
      <c r="X12" s="194">
        <f t="shared" si="4"/>
        <v>1</v>
      </c>
      <c r="Y12" s="209">
        <f t="shared" si="4"/>
        <v>1</v>
      </c>
      <c r="Z12" s="210">
        <f t="shared" si="4"/>
        <v>1</v>
      </c>
      <c r="AA12" s="209">
        <f t="shared" si="4"/>
        <v>1</v>
      </c>
      <c r="AB12" s="209">
        <f t="shared" si="4"/>
        <v>1</v>
      </c>
      <c r="AC12" s="209">
        <f t="shared" si="4"/>
        <v>1</v>
      </c>
      <c r="AD12" s="209">
        <f t="shared" si="4"/>
        <v>1</v>
      </c>
      <c r="AE12" s="194">
        <f t="shared" si="4"/>
        <v>1</v>
      </c>
      <c r="AF12" s="209">
        <f t="shared" si="4"/>
        <v>1</v>
      </c>
      <c r="AG12" s="204"/>
      <c r="AH12" s="187"/>
      <c r="AI12" s="205"/>
      <c r="AJ12" s="206"/>
      <c r="AK12" s="207"/>
      <c r="AL12" s="208"/>
      <c r="AM12" s="208"/>
      <c r="AN12" s="207"/>
      <c r="AO12" s="208"/>
      <c r="AP12" s="208"/>
      <c r="AQ12" s="200"/>
    </row>
    <row r="13" spans="1:43" s="38" customFormat="1" ht="15" customHeight="1" x14ac:dyDescent="0.2">
      <c r="A13" s="211" t="s">
        <v>16</v>
      </c>
      <c r="B13" s="40"/>
      <c r="C13" s="40"/>
      <c r="D13" s="40"/>
      <c r="E13" s="27"/>
      <c r="F13" s="40"/>
      <c r="G13" s="40"/>
      <c r="H13" s="40"/>
      <c r="I13" s="40"/>
      <c r="J13" s="27"/>
      <c r="K13" s="40"/>
      <c r="L13" s="27"/>
      <c r="M13" s="40"/>
      <c r="N13" s="40"/>
      <c r="O13" s="40"/>
      <c r="P13" s="40"/>
      <c r="Q13" s="27"/>
      <c r="R13" s="40"/>
      <c r="S13" s="27"/>
      <c r="T13" s="27"/>
      <c r="U13" s="40"/>
      <c r="V13" s="40"/>
      <c r="W13" s="40"/>
      <c r="X13" s="27"/>
      <c r="Y13" s="40"/>
      <c r="Z13" s="39"/>
      <c r="AA13" s="40"/>
      <c r="AB13" s="40"/>
      <c r="AC13" s="40"/>
      <c r="AD13" s="40"/>
      <c r="AE13" s="27"/>
      <c r="AF13" s="40"/>
      <c r="AG13" s="204" t="str">
        <f t="shared" si="2"/>
        <v>ein</v>
      </c>
      <c r="AH13" s="187"/>
      <c r="AI13" s="205"/>
      <c r="AJ13" s="206"/>
      <c r="AK13" s="207"/>
      <c r="AL13" s="208"/>
      <c r="AM13" s="208"/>
      <c r="AN13" s="207"/>
      <c r="AO13" s="208"/>
      <c r="AP13" s="208"/>
      <c r="AQ13" s="118"/>
    </row>
    <row r="14" spans="1:43" s="38" customFormat="1" ht="15" customHeight="1" x14ac:dyDescent="0.2">
      <c r="A14" s="211" t="s">
        <v>17</v>
      </c>
      <c r="B14" s="40"/>
      <c r="C14" s="40"/>
      <c r="D14" s="40"/>
      <c r="E14" s="27"/>
      <c r="F14" s="40"/>
      <c r="G14" s="40"/>
      <c r="H14" s="40"/>
      <c r="I14" s="40"/>
      <c r="J14" s="27"/>
      <c r="K14" s="40"/>
      <c r="L14" s="27"/>
      <c r="M14" s="40"/>
      <c r="N14" s="40"/>
      <c r="O14" s="40"/>
      <c r="P14" s="40"/>
      <c r="Q14" s="27"/>
      <c r="R14" s="40"/>
      <c r="S14" s="27"/>
      <c r="T14" s="27"/>
      <c r="U14" s="40"/>
      <c r="V14" s="40"/>
      <c r="W14" s="40"/>
      <c r="X14" s="27"/>
      <c r="Y14" s="40"/>
      <c r="Z14" s="39"/>
      <c r="AA14" s="40"/>
      <c r="AB14" s="40"/>
      <c r="AC14" s="40"/>
      <c r="AD14" s="40"/>
      <c r="AE14" s="27"/>
      <c r="AF14" s="40"/>
      <c r="AG14" s="204" t="str">
        <f t="shared" si="2"/>
        <v>aus</v>
      </c>
      <c r="AH14" s="187"/>
      <c r="AI14" s="205"/>
      <c r="AJ14" s="206"/>
      <c r="AK14" s="207"/>
      <c r="AL14" s="208"/>
      <c r="AM14" s="208"/>
      <c r="AN14" s="207"/>
      <c r="AO14" s="208"/>
      <c r="AP14" s="208"/>
      <c r="AQ14" s="118"/>
    </row>
    <row r="15" spans="1:43" s="38" customFormat="1" ht="15" customHeight="1" x14ac:dyDescent="0.2">
      <c r="A15" s="211" t="s">
        <v>16</v>
      </c>
      <c r="B15" s="40"/>
      <c r="C15" s="40"/>
      <c r="D15" s="40"/>
      <c r="E15" s="27"/>
      <c r="F15" s="40"/>
      <c r="G15" s="40"/>
      <c r="H15" s="40"/>
      <c r="I15" s="40"/>
      <c r="J15" s="27"/>
      <c r="K15" s="40"/>
      <c r="L15" s="27"/>
      <c r="M15" s="40"/>
      <c r="N15" s="40"/>
      <c r="O15" s="40"/>
      <c r="P15" s="40"/>
      <c r="Q15" s="27"/>
      <c r="R15" s="40"/>
      <c r="S15" s="27"/>
      <c r="T15" s="27"/>
      <c r="U15" s="40"/>
      <c r="V15" s="40"/>
      <c r="W15" s="40"/>
      <c r="X15" s="27"/>
      <c r="Y15" s="40"/>
      <c r="Z15" s="39"/>
      <c r="AA15" s="40"/>
      <c r="AB15" s="40"/>
      <c r="AC15" s="40"/>
      <c r="AD15" s="40"/>
      <c r="AE15" s="27"/>
      <c r="AF15" s="40"/>
      <c r="AG15" s="204" t="str">
        <f t="shared" si="2"/>
        <v>ein</v>
      </c>
      <c r="AH15" s="187"/>
      <c r="AI15" s="205"/>
      <c r="AJ15" s="206"/>
      <c r="AK15" s="207"/>
      <c r="AL15" s="208"/>
      <c r="AM15" s="208"/>
      <c r="AN15" s="207"/>
      <c r="AO15" s="208"/>
      <c r="AP15" s="208"/>
      <c r="AQ15" s="118"/>
    </row>
    <row r="16" spans="1:43" s="38" customFormat="1" ht="15" customHeight="1" x14ac:dyDescent="0.2">
      <c r="A16" s="211" t="s">
        <v>17</v>
      </c>
      <c r="B16" s="40"/>
      <c r="C16" s="40"/>
      <c r="D16" s="40"/>
      <c r="E16" s="27"/>
      <c r="F16" s="40"/>
      <c r="G16" s="40"/>
      <c r="H16" s="40"/>
      <c r="I16" s="40"/>
      <c r="J16" s="27"/>
      <c r="K16" s="40"/>
      <c r="L16" s="27"/>
      <c r="M16" s="40"/>
      <c r="N16" s="40"/>
      <c r="O16" s="40"/>
      <c r="P16" s="40"/>
      <c r="Q16" s="27"/>
      <c r="R16" s="40"/>
      <c r="S16" s="27"/>
      <c r="T16" s="27"/>
      <c r="U16" s="40"/>
      <c r="V16" s="40"/>
      <c r="W16" s="40"/>
      <c r="X16" s="27"/>
      <c r="Y16" s="40"/>
      <c r="Z16" s="39"/>
      <c r="AA16" s="40"/>
      <c r="AB16" s="40"/>
      <c r="AC16" s="40"/>
      <c r="AD16" s="40"/>
      <c r="AE16" s="27"/>
      <c r="AF16" s="40"/>
      <c r="AG16" s="204" t="str">
        <f t="shared" si="2"/>
        <v>aus</v>
      </c>
      <c r="AH16" s="187"/>
      <c r="AI16" s="212"/>
      <c r="AJ16" s="213"/>
      <c r="AK16" s="208"/>
      <c r="AL16" s="208"/>
      <c r="AM16" s="208"/>
      <c r="AN16" s="207"/>
      <c r="AO16" s="208"/>
      <c r="AP16" s="208"/>
      <c r="AQ16" s="118"/>
    </row>
    <row r="17" spans="1:43" s="38" customFormat="1" ht="15" customHeight="1" x14ac:dyDescent="0.2">
      <c r="A17" s="211" t="s">
        <v>16</v>
      </c>
      <c r="B17" s="40"/>
      <c r="C17" s="40"/>
      <c r="D17" s="40"/>
      <c r="E17" s="27"/>
      <c r="F17" s="40"/>
      <c r="G17" s="40"/>
      <c r="H17" s="40"/>
      <c r="I17" s="40"/>
      <c r="J17" s="27"/>
      <c r="K17" s="40"/>
      <c r="L17" s="27"/>
      <c r="M17" s="40"/>
      <c r="N17" s="40"/>
      <c r="O17" s="40"/>
      <c r="P17" s="40"/>
      <c r="Q17" s="27"/>
      <c r="R17" s="40"/>
      <c r="S17" s="27"/>
      <c r="T17" s="27"/>
      <c r="U17" s="40"/>
      <c r="V17" s="40"/>
      <c r="W17" s="40"/>
      <c r="X17" s="27"/>
      <c r="Y17" s="40"/>
      <c r="Z17" s="39"/>
      <c r="AA17" s="40"/>
      <c r="AB17" s="40"/>
      <c r="AC17" s="40"/>
      <c r="AD17" s="40"/>
      <c r="AE17" s="27"/>
      <c r="AF17" s="40"/>
      <c r="AG17" s="204" t="str">
        <f t="shared" si="2"/>
        <v>ein</v>
      </c>
      <c r="AH17" s="187"/>
      <c r="AI17" s="212"/>
      <c r="AJ17" s="213"/>
      <c r="AK17" s="208"/>
      <c r="AL17" s="208"/>
      <c r="AM17" s="208"/>
      <c r="AN17" s="207"/>
      <c r="AO17" s="208"/>
      <c r="AP17" s="208"/>
      <c r="AQ17" s="118"/>
    </row>
    <row r="18" spans="1:43" s="38" customFormat="1" ht="15" customHeight="1" x14ac:dyDescent="0.2">
      <c r="A18" s="211" t="s">
        <v>17</v>
      </c>
      <c r="B18" s="40"/>
      <c r="C18" s="40"/>
      <c r="D18" s="40"/>
      <c r="E18" s="27"/>
      <c r="F18" s="40"/>
      <c r="G18" s="40"/>
      <c r="H18" s="40"/>
      <c r="I18" s="40"/>
      <c r="J18" s="27"/>
      <c r="K18" s="40"/>
      <c r="L18" s="27"/>
      <c r="M18" s="40"/>
      <c r="N18" s="40"/>
      <c r="O18" s="40"/>
      <c r="P18" s="40"/>
      <c r="Q18" s="27"/>
      <c r="R18" s="40"/>
      <c r="S18" s="27"/>
      <c r="T18" s="27"/>
      <c r="U18" s="40"/>
      <c r="V18" s="40"/>
      <c r="W18" s="40"/>
      <c r="X18" s="27"/>
      <c r="Y18" s="40"/>
      <c r="Z18" s="39"/>
      <c r="AA18" s="40"/>
      <c r="AB18" s="40"/>
      <c r="AC18" s="40"/>
      <c r="AD18" s="40"/>
      <c r="AE18" s="27"/>
      <c r="AF18" s="40"/>
      <c r="AG18" s="204" t="str">
        <f t="shared" si="2"/>
        <v>aus</v>
      </c>
      <c r="AH18" s="187"/>
      <c r="AI18" s="212"/>
      <c r="AJ18" s="213"/>
      <c r="AK18" s="208"/>
      <c r="AL18" s="208"/>
      <c r="AM18" s="208"/>
      <c r="AN18" s="207"/>
      <c r="AO18" s="208"/>
      <c r="AP18" s="208"/>
      <c r="AQ18" s="118"/>
    </row>
    <row r="19" spans="1:43" s="38" customFormat="1" ht="15" hidden="1" customHeight="1" outlineLevel="1" x14ac:dyDescent="0.2">
      <c r="A19" s="211" t="s">
        <v>16</v>
      </c>
      <c r="B19" s="40"/>
      <c r="C19" s="40"/>
      <c r="D19" s="40"/>
      <c r="E19" s="27"/>
      <c r="F19" s="40"/>
      <c r="G19" s="40"/>
      <c r="H19" s="40"/>
      <c r="I19" s="40"/>
      <c r="J19" s="27"/>
      <c r="K19" s="40"/>
      <c r="L19" s="27"/>
      <c r="M19" s="40"/>
      <c r="N19" s="40"/>
      <c r="O19" s="40"/>
      <c r="P19" s="40"/>
      <c r="Q19" s="27"/>
      <c r="R19" s="40"/>
      <c r="S19" s="27"/>
      <c r="T19" s="27"/>
      <c r="U19" s="40"/>
      <c r="V19" s="40"/>
      <c r="W19" s="40"/>
      <c r="X19" s="27"/>
      <c r="Y19" s="40"/>
      <c r="Z19" s="39"/>
      <c r="AA19" s="40"/>
      <c r="AB19" s="40"/>
      <c r="AC19" s="40"/>
      <c r="AD19" s="40"/>
      <c r="AE19" s="27"/>
      <c r="AF19" s="40"/>
      <c r="AG19" s="204" t="str">
        <f t="shared" si="2"/>
        <v>ein</v>
      </c>
      <c r="AH19" s="187"/>
      <c r="AI19" s="212"/>
      <c r="AJ19" s="213"/>
      <c r="AK19" s="208"/>
      <c r="AL19" s="208"/>
      <c r="AM19" s="208"/>
      <c r="AN19" s="207"/>
      <c r="AO19" s="208"/>
      <c r="AP19" s="208"/>
      <c r="AQ19" s="118"/>
    </row>
    <row r="20" spans="1:43" s="38" customFormat="1" ht="15" hidden="1" customHeight="1" outlineLevel="1" x14ac:dyDescent="0.2">
      <c r="A20" s="211" t="s">
        <v>17</v>
      </c>
      <c r="B20" s="40"/>
      <c r="C20" s="40"/>
      <c r="D20" s="40"/>
      <c r="E20" s="27"/>
      <c r="F20" s="40"/>
      <c r="G20" s="40"/>
      <c r="H20" s="40"/>
      <c r="I20" s="40"/>
      <c r="J20" s="27"/>
      <c r="K20" s="40"/>
      <c r="L20" s="27"/>
      <c r="M20" s="40"/>
      <c r="N20" s="40"/>
      <c r="O20" s="40"/>
      <c r="P20" s="40"/>
      <c r="Q20" s="27"/>
      <c r="R20" s="40"/>
      <c r="S20" s="27"/>
      <c r="T20" s="27"/>
      <c r="U20" s="40"/>
      <c r="V20" s="40"/>
      <c r="W20" s="40"/>
      <c r="X20" s="27"/>
      <c r="Y20" s="40"/>
      <c r="Z20" s="39"/>
      <c r="AA20" s="40"/>
      <c r="AB20" s="40"/>
      <c r="AC20" s="40"/>
      <c r="AD20" s="40"/>
      <c r="AE20" s="27"/>
      <c r="AF20" s="40"/>
      <c r="AG20" s="204" t="str">
        <f t="shared" si="2"/>
        <v>aus</v>
      </c>
      <c r="AH20" s="187"/>
      <c r="AI20" s="212"/>
      <c r="AJ20" s="213"/>
      <c r="AK20" s="208"/>
      <c r="AL20" s="208"/>
      <c r="AM20" s="208"/>
      <c r="AN20" s="207"/>
      <c r="AO20" s="208"/>
      <c r="AP20" s="208"/>
      <c r="AQ20" s="118"/>
    </row>
    <row r="21" spans="1:43" s="38" customFormat="1" ht="15" hidden="1" customHeight="1" outlineLevel="1" x14ac:dyDescent="0.2">
      <c r="A21" s="211" t="s">
        <v>16</v>
      </c>
      <c r="B21" s="40"/>
      <c r="C21" s="40"/>
      <c r="D21" s="40"/>
      <c r="E21" s="27"/>
      <c r="F21" s="40"/>
      <c r="G21" s="40"/>
      <c r="H21" s="40"/>
      <c r="I21" s="40"/>
      <c r="J21" s="27"/>
      <c r="K21" s="40"/>
      <c r="L21" s="27"/>
      <c r="M21" s="40"/>
      <c r="N21" s="40"/>
      <c r="O21" s="40"/>
      <c r="P21" s="40"/>
      <c r="Q21" s="27"/>
      <c r="R21" s="40"/>
      <c r="S21" s="27"/>
      <c r="T21" s="27"/>
      <c r="U21" s="40"/>
      <c r="V21" s="40"/>
      <c r="W21" s="40"/>
      <c r="X21" s="27"/>
      <c r="Y21" s="40"/>
      <c r="Z21" s="39"/>
      <c r="AA21" s="40"/>
      <c r="AB21" s="40"/>
      <c r="AC21" s="40"/>
      <c r="AD21" s="40"/>
      <c r="AE21" s="27"/>
      <c r="AF21" s="40"/>
      <c r="AG21" s="204" t="str">
        <f t="shared" si="2"/>
        <v>ein</v>
      </c>
      <c r="AH21" s="187"/>
      <c r="AI21" s="212"/>
      <c r="AJ21" s="213"/>
      <c r="AK21" s="208"/>
      <c r="AL21" s="208"/>
      <c r="AM21" s="208"/>
      <c r="AN21" s="207"/>
      <c r="AO21" s="208"/>
      <c r="AP21" s="208"/>
      <c r="AQ21" s="118"/>
    </row>
    <row r="22" spans="1:43" s="38" customFormat="1" ht="15" hidden="1" customHeight="1" outlineLevel="1" x14ac:dyDescent="0.2">
      <c r="A22" s="211" t="s">
        <v>17</v>
      </c>
      <c r="B22" s="40"/>
      <c r="C22" s="40"/>
      <c r="D22" s="40"/>
      <c r="E22" s="27"/>
      <c r="F22" s="40"/>
      <c r="G22" s="40"/>
      <c r="H22" s="40"/>
      <c r="I22" s="40"/>
      <c r="J22" s="27"/>
      <c r="K22" s="40"/>
      <c r="L22" s="27"/>
      <c r="M22" s="40"/>
      <c r="N22" s="40"/>
      <c r="O22" s="40"/>
      <c r="P22" s="40"/>
      <c r="Q22" s="27"/>
      <c r="R22" s="40"/>
      <c r="S22" s="27"/>
      <c r="T22" s="27"/>
      <c r="U22" s="40"/>
      <c r="V22" s="40"/>
      <c r="W22" s="40"/>
      <c r="X22" s="27"/>
      <c r="Y22" s="40"/>
      <c r="Z22" s="39"/>
      <c r="AA22" s="40"/>
      <c r="AB22" s="40"/>
      <c r="AC22" s="40"/>
      <c r="AD22" s="40"/>
      <c r="AE22" s="27"/>
      <c r="AF22" s="40"/>
      <c r="AG22" s="204" t="str">
        <f t="shared" si="2"/>
        <v>aus</v>
      </c>
      <c r="AH22" s="187"/>
      <c r="AI22" s="212"/>
      <c r="AJ22" s="213"/>
      <c r="AK22" s="208"/>
      <c r="AL22" s="208"/>
      <c r="AM22" s="208"/>
      <c r="AN22" s="207"/>
      <c r="AO22" s="208"/>
      <c r="AP22" s="208"/>
      <c r="AQ22" s="118"/>
    </row>
    <row r="23" spans="1:43" s="38" customFormat="1" ht="15" customHeight="1" collapsed="1" x14ac:dyDescent="0.2">
      <c r="A23" s="214" t="s">
        <v>189</v>
      </c>
      <c r="B23" s="215">
        <f>ROUND(((B14-B13)+(B16-B15)+(B18-B17)+(B20-B19)+(B22-B21))*1440,0)/1440</f>
        <v>0</v>
      </c>
      <c r="C23" s="215">
        <f t="shared" ref="C23:AF23" si="5">ROUND(((C14-C13)+(C16-C15)+(C18-C17)+(C20-C19)+(C22-C21))*1440,0)/1440</f>
        <v>0</v>
      </c>
      <c r="D23" s="215">
        <f t="shared" si="5"/>
        <v>0</v>
      </c>
      <c r="E23" s="215">
        <f t="shared" si="5"/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0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0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6" t="str">
        <f t="shared" si="2"/>
        <v>Total ein/aus</v>
      </c>
      <c r="AH23" s="217"/>
      <c r="AI23" s="218">
        <f>SUM(B23:AF23)</f>
        <v>0</v>
      </c>
      <c r="AJ23" s="213"/>
      <c r="AK23" s="208"/>
      <c r="AL23" s="208"/>
      <c r="AM23" s="208"/>
      <c r="AN23" s="207"/>
      <c r="AO23" s="208"/>
      <c r="AP23" s="208"/>
      <c r="AQ23" s="118"/>
    </row>
    <row r="24" spans="1:43" s="38" customFormat="1" ht="3.75" hidden="1" customHeight="1" outlineLevel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1"/>
      <c r="AG24" s="204"/>
      <c r="AH24" s="187"/>
      <c r="AI24" s="212"/>
      <c r="AJ24" s="213"/>
      <c r="AK24" s="208"/>
      <c r="AL24" s="208"/>
      <c r="AM24" s="208"/>
      <c r="AN24" s="207"/>
      <c r="AO24" s="208"/>
      <c r="AP24" s="208"/>
      <c r="AQ24" s="118"/>
    </row>
    <row r="25" spans="1:43" s="38" customFormat="1" ht="15" hidden="1" customHeight="1" outlineLevel="1" x14ac:dyDescent="0.2">
      <c r="A25" s="211" t="s">
        <v>183</v>
      </c>
      <c r="B25" s="40"/>
      <c r="C25" s="40"/>
      <c r="D25" s="40"/>
      <c r="E25" s="77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7"/>
      <c r="AA25" s="40"/>
      <c r="AB25" s="40"/>
      <c r="AC25" s="40"/>
      <c r="AD25" s="40"/>
      <c r="AE25" s="40"/>
      <c r="AF25" s="40"/>
      <c r="AG25" s="204" t="str">
        <f t="shared" ref="AG25:AG30" si="6">A25</f>
        <v>bezahlte Pause ein</v>
      </c>
      <c r="AH25" s="187"/>
      <c r="AI25" s="212"/>
      <c r="AJ25" s="213"/>
      <c r="AK25" s="208"/>
      <c r="AL25" s="208"/>
      <c r="AM25" s="208"/>
      <c r="AN25" s="207"/>
      <c r="AO25" s="208"/>
      <c r="AP25" s="208"/>
      <c r="AQ25" s="118"/>
    </row>
    <row r="26" spans="1:43" s="38" customFormat="1" ht="15" hidden="1" customHeight="1" outlineLevel="1" x14ac:dyDescent="0.2">
      <c r="A26" s="211" t="s">
        <v>184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7"/>
      <c r="AA26" s="40"/>
      <c r="AB26" s="40"/>
      <c r="AC26" s="40"/>
      <c r="AD26" s="40"/>
      <c r="AE26" s="40"/>
      <c r="AF26" s="40"/>
      <c r="AG26" s="204" t="str">
        <f t="shared" si="6"/>
        <v>bezahlte Pause aus</v>
      </c>
      <c r="AH26" s="187"/>
      <c r="AI26" s="212"/>
      <c r="AJ26" s="213"/>
      <c r="AK26" s="208"/>
      <c r="AL26" s="208"/>
      <c r="AM26" s="208"/>
      <c r="AN26" s="207"/>
      <c r="AO26" s="208"/>
      <c r="AP26" s="208"/>
      <c r="AQ26" s="118"/>
    </row>
    <row r="27" spans="1:43" s="38" customFormat="1" ht="15" hidden="1" customHeight="1" outlineLevel="1" x14ac:dyDescent="0.2">
      <c r="A27" s="211" t="s">
        <v>183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/>
      <c r="AA27" s="40"/>
      <c r="AB27" s="40"/>
      <c r="AC27" s="40"/>
      <c r="AD27" s="40"/>
      <c r="AE27" s="40"/>
      <c r="AF27" s="40"/>
      <c r="AG27" s="204" t="str">
        <f t="shared" si="6"/>
        <v>bezahlte Pause ein</v>
      </c>
      <c r="AH27" s="187"/>
      <c r="AI27" s="212"/>
      <c r="AJ27" s="213"/>
      <c r="AK27" s="208"/>
      <c r="AL27" s="208"/>
      <c r="AM27" s="208"/>
      <c r="AN27" s="207"/>
      <c r="AO27" s="208"/>
      <c r="AP27" s="208"/>
      <c r="AQ27" s="118"/>
    </row>
    <row r="28" spans="1:43" s="38" customFormat="1" ht="15" hidden="1" customHeight="1" outlineLevel="1" x14ac:dyDescent="0.2">
      <c r="A28" s="211" t="s">
        <v>184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7"/>
      <c r="AA28" s="40"/>
      <c r="AB28" s="40"/>
      <c r="AC28" s="40"/>
      <c r="AD28" s="40"/>
      <c r="AE28" s="40"/>
      <c r="AF28" s="40"/>
      <c r="AG28" s="204" t="str">
        <f t="shared" si="6"/>
        <v>bezahlte Pause aus</v>
      </c>
      <c r="AH28" s="187"/>
      <c r="AI28" s="212"/>
      <c r="AJ28" s="213"/>
      <c r="AK28" s="208"/>
      <c r="AL28" s="208"/>
      <c r="AM28" s="208"/>
      <c r="AN28" s="207"/>
      <c r="AO28" s="208"/>
      <c r="AP28" s="208"/>
      <c r="AQ28" s="118"/>
    </row>
    <row r="29" spans="1:43" s="38" customFormat="1" ht="15" hidden="1" customHeight="1" outlineLevel="1" x14ac:dyDescent="0.2">
      <c r="A29" s="211" t="s">
        <v>183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7"/>
      <c r="AA29" s="40"/>
      <c r="AB29" s="40"/>
      <c r="AC29" s="40"/>
      <c r="AD29" s="40"/>
      <c r="AE29" s="40"/>
      <c r="AF29" s="40"/>
      <c r="AG29" s="204" t="str">
        <f t="shared" si="6"/>
        <v>bezahlte Pause ein</v>
      </c>
      <c r="AH29" s="187"/>
      <c r="AI29" s="212"/>
      <c r="AJ29" s="213"/>
      <c r="AK29" s="208"/>
      <c r="AL29" s="208"/>
      <c r="AM29" s="208"/>
      <c r="AN29" s="207"/>
      <c r="AO29" s="208"/>
      <c r="AP29" s="208"/>
      <c r="AQ29" s="118"/>
    </row>
    <row r="30" spans="1:43" s="38" customFormat="1" ht="15" hidden="1" customHeight="1" outlineLevel="1" x14ac:dyDescent="0.2">
      <c r="A30" s="211" t="s">
        <v>184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40"/>
      <c r="AB30" s="40"/>
      <c r="AC30" s="40"/>
      <c r="AD30" s="40"/>
      <c r="AE30" s="40"/>
      <c r="AF30" s="40"/>
      <c r="AG30" s="204" t="str">
        <f t="shared" si="6"/>
        <v>bezahlte Pause aus</v>
      </c>
      <c r="AH30" s="187"/>
      <c r="AI30" s="212"/>
      <c r="AJ30" s="213"/>
      <c r="AK30" s="208"/>
      <c r="AL30" s="208"/>
      <c r="AM30" s="208"/>
      <c r="AN30" s="207"/>
      <c r="AO30" s="208"/>
      <c r="AP30" s="208"/>
      <c r="AQ30" s="118"/>
    </row>
    <row r="31" spans="1:43" s="38" customFormat="1" ht="3.75" hidden="1" customHeight="1" outlineLevel="1" x14ac:dyDescent="0.2">
      <c r="A31" s="219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204"/>
      <c r="AH31" s="187"/>
      <c r="AI31" s="212"/>
      <c r="AJ31" s="213"/>
      <c r="AK31" s="208"/>
      <c r="AL31" s="208"/>
      <c r="AM31" s="208"/>
      <c r="AN31" s="207"/>
      <c r="AO31" s="208"/>
      <c r="AP31" s="208"/>
      <c r="AQ31" s="118"/>
    </row>
    <row r="32" spans="1:43" s="38" customFormat="1" ht="15" hidden="1" customHeight="1" outlineLevel="1" x14ac:dyDescent="0.2">
      <c r="A32" s="214" t="s">
        <v>225</v>
      </c>
      <c r="B32" s="224">
        <f>ROUND((IF(MAX(0,B15-B14)&lt;1/24/60*180,MAX(0,B15-B14),0)+IF(MAX(0,B17-B16)&lt;1/24/60*180,MAX(0,B17-B16),0)+IF(MAX(0,B19-B18)&lt;1/24/60*180,MAX(0,B19-B18),0)+IF(MAX(0,B21-B20)&lt;1/24/60*180,MAX(0,B21-B20))+MAX(0,B26-B25)+MAX(0,B28-B27)+MAX(0,B30-B29))*1440,0)/1440</f>
        <v>0</v>
      </c>
      <c r="C32" s="224">
        <f t="shared" ref="C32:AF32" si="7">ROUND((IF(MAX(0,C15-C14)&lt;1/24/60*180,MAX(0,C15-C14),0)+IF(MAX(0,C17-C16)&lt;1/24/60*180,MAX(0,C17-C16),0)+IF(MAX(0,C19-C18)&lt;1/24/60*180,MAX(0,C19-C18),0)+IF(MAX(0,C21-C20)&lt;1/24/60*180,MAX(0,C21-C20))+MAX(0,C26-C25)+MAX(0,C28-C27)+MAX(0,C30-C29))*1440,0)/1440</f>
        <v>0</v>
      </c>
      <c r="D32" s="224">
        <f t="shared" si="7"/>
        <v>0</v>
      </c>
      <c r="E32" s="224">
        <f t="shared" si="7"/>
        <v>0</v>
      </c>
      <c r="F32" s="224">
        <f t="shared" si="7"/>
        <v>0</v>
      </c>
      <c r="G32" s="224">
        <f t="shared" si="7"/>
        <v>0</v>
      </c>
      <c r="H32" s="224">
        <f t="shared" si="7"/>
        <v>0</v>
      </c>
      <c r="I32" s="224">
        <f t="shared" si="7"/>
        <v>0</v>
      </c>
      <c r="J32" s="224">
        <f t="shared" si="7"/>
        <v>0</v>
      </c>
      <c r="K32" s="224">
        <f t="shared" si="7"/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16" t="str">
        <f t="shared" ref="AG32" si="8">A32</f>
        <v>Total Pausen (ein aus/bez.)</v>
      </c>
      <c r="AH32" s="217"/>
      <c r="AI32" s="218">
        <f>SUM(B32:AF32)</f>
        <v>0</v>
      </c>
      <c r="AJ32" s="213"/>
      <c r="AK32" s="208"/>
      <c r="AL32" s="208"/>
      <c r="AM32" s="208"/>
      <c r="AN32" s="207"/>
      <c r="AO32" s="208"/>
      <c r="AP32" s="208"/>
      <c r="AQ32" s="118"/>
    </row>
    <row r="33" spans="1:43" s="38" customFormat="1" ht="3.75" customHeight="1" collapsed="1" x14ac:dyDescent="0.2">
      <c r="A33" s="219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04"/>
      <c r="AH33" s="187"/>
      <c r="AI33" s="212"/>
      <c r="AJ33" s="213"/>
      <c r="AK33" s="208"/>
      <c r="AL33" s="208"/>
      <c r="AM33" s="208"/>
      <c r="AN33" s="207"/>
      <c r="AO33" s="208"/>
      <c r="AP33" s="208"/>
      <c r="AQ33" s="118"/>
    </row>
    <row r="34" spans="1:43" s="38" customFormat="1" ht="15" customHeight="1" outlineLevel="1" x14ac:dyDescent="0.2">
      <c r="A34" s="211" t="s">
        <v>193</v>
      </c>
      <c r="B34" s="91" t="str">
        <f ca="1">IF(EB.Anwendung&lt;&gt;"",IF(EB.Wochenarbeitszeit=50/24,INDEX(T.Pikett.Bereich,1),IF(DAY(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34="B",INDEX(T.Pikett.Bereich,4),IF(A34="E",INDEX(T.Pikett.Bereich,1),A34)))),"")</f>
        <v>Nein</v>
      </c>
      <c r="C34" s="91" t="str">
        <f ca="1">IF(EB.Anwendung&lt;&gt;"",IF(EB.Wochenarbeitszeit=50/24,INDEX(T.Pikett.Bereich,1),IF(DAY(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B34="B",INDEX(T.Pikett.Bereich,4),IF(B34="E",INDEX(T.Pikett.Bereich,1),B34)))),"")</f>
        <v>Nein</v>
      </c>
      <c r="D34" s="91" t="str">
        <f ca="1">IF(EB.Anwendung&lt;&gt;"",IF(EB.Wochenarbeitszeit=50/24,INDEX(T.Pikett.Bereich,1),IF(DAY(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C34="B",INDEX(T.Pikett.Bereich,4),IF(C34="E",INDEX(T.Pikett.Bereich,1),C34)))),"")</f>
        <v>Nein</v>
      </c>
      <c r="E34" s="91" t="str">
        <f ca="1">IF(EB.Anwendung&lt;&gt;"",IF(EB.Wochenarbeitszeit=50/24,INDEX(T.Pikett.Bereich,1),IF(DAY(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D34="B",INDEX(T.Pikett.Bereich,4),IF(D34="E",INDEX(T.Pikett.Bereich,1),D34)))),"")</f>
        <v>Nein</v>
      </c>
      <c r="F34" s="91" t="str">
        <f ca="1">IF(EB.Anwendung&lt;&gt;"",IF(EB.Wochenarbeitszeit=50/24,INDEX(T.Pikett.Bereich,1),IF(DAY(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E34="B",INDEX(T.Pikett.Bereich,4),IF(E34="E",INDEX(T.Pikett.Bereich,1),E34)))),"")</f>
        <v>Nein</v>
      </c>
      <c r="G34" s="91" t="str">
        <f ca="1">IF(EB.Anwendung&lt;&gt;"",IF(EB.Wochenarbeitszeit=50/24,INDEX(T.Pikett.Bereich,1),IF(DAY(G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F34="B",INDEX(T.Pikett.Bereich,4),IF(F34="E",INDEX(T.Pikett.Bereich,1),F34)))),"")</f>
        <v>Nein</v>
      </c>
      <c r="H34" s="91" t="str">
        <f ca="1">IF(EB.Anwendung&lt;&gt;"",IF(EB.Wochenarbeitszeit=50/24,INDEX(T.Pikett.Bereich,1),IF(DAY(H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G34="B",INDEX(T.Pikett.Bereich,4),IF(G34="E",INDEX(T.Pikett.Bereich,1),G34)))),"")</f>
        <v>Nein</v>
      </c>
      <c r="I34" s="91" t="str">
        <f ca="1">IF(EB.Anwendung&lt;&gt;"",IF(EB.Wochenarbeitszeit=50/24,INDEX(T.Pikett.Bereich,1),IF(DAY(I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H34="B",INDEX(T.Pikett.Bereich,4),IF(H34="E",INDEX(T.Pikett.Bereich,1),H34)))),"")</f>
        <v>Nein</v>
      </c>
      <c r="J34" s="91" t="str">
        <f ca="1">IF(EB.Anwendung&lt;&gt;"",IF(EB.Wochenarbeitszeit=50/24,INDEX(T.Pikett.Bereich,1),IF(DAY(J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I34="B",INDEX(T.Pikett.Bereich,4),IF(I34="E",INDEX(T.Pikett.Bereich,1),I34)))),"")</f>
        <v>Nein</v>
      </c>
      <c r="K34" s="91" t="str">
        <f ca="1">IF(EB.Anwendung&lt;&gt;"",IF(EB.Wochenarbeitszeit=50/24,INDEX(T.Pikett.Bereich,1),IF(DAY(K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J34="B",INDEX(T.Pikett.Bereich,4),IF(J34="E",INDEX(T.Pikett.Bereich,1),J34)))),"")</f>
        <v>Nein</v>
      </c>
      <c r="L34" s="91" t="str">
        <f ca="1">IF(EB.Anwendung&lt;&gt;"",IF(EB.Wochenarbeitszeit=50/24,INDEX(T.Pikett.Bereich,1),IF(DAY(L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K34="B",INDEX(T.Pikett.Bereich,4),IF(K34="E",INDEX(T.Pikett.Bereich,1),K34)))),"")</f>
        <v>Nein</v>
      </c>
      <c r="M34" s="91" t="str">
        <f ca="1">IF(EB.Anwendung&lt;&gt;"",IF(EB.Wochenarbeitszeit=50/24,INDEX(T.Pikett.Bereich,1),IF(DAY(M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L34="B",INDEX(T.Pikett.Bereich,4),IF(L34="E",INDEX(T.Pikett.Bereich,1),L34)))),"")</f>
        <v>Nein</v>
      </c>
      <c r="N34" s="91" t="str">
        <f ca="1">IF(EB.Anwendung&lt;&gt;"",IF(EB.Wochenarbeitszeit=50/24,INDEX(T.Pikett.Bereich,1),IF(DAY(N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M34="B",INDEX(T.Pikett.Bereich,4),IF(M34="E",INDEX(T.Pikett.Bereich,1),M34)))),"")</f>
        <v>Nein</v>
      </c>
      <c r="O34" s="91" t="str">
        <f ca="1">IF(EB.Anwendung&lt;&gt;"",IF(EB.Wochenarbeitszeit=50/24,INDEX(T.Pikett.Bereich,1),IF(DAY(O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N34="B",INDEX(T.Pikett.Bereich,4),IF(N34="E",INDEX(T.Pikett.Bereich,1),N34)))),"")</f>
        <v>Nein</v>
      </c>
      <c r="P34" s="91" t="str">
        <f ca="1">IF(EB.Anwendung&lt;&gt;"",IF(EB.Wochenarbeitszeit=50/24,INDEX(T.Pikett.Bereich,1),IF(DAY(P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O34="B",INDEX(T.Pikett.Bereich,4),IF(O34="E",INDEX(T.Pikett.Bereich,1),O34)))),"")</f>
        <v>Nein</v>
      </c>
      <c r="Q34" s="91" t="str">
        <f ca="1">IF(EB.Anwendung&lt;&gt;"",IF(EB.Wochenarbeitszeit=50/24,INDEX(T.Pikett.Bereich,1),IF(DAY(Q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P34="B",INDEX(T.Pikett.Bereich,4),IF(P34="E",INDEX(T.Pikett.Bereich,1),P34)))),"")</f>
        <v>Nein</v>
      </c>
      <c r="R34" s="91" t="str">
        <f ca="1">IF(EB.Anwendung&lt;&gt;"",IF(EB.Wochenarbeitszeit=50/24,INDEX(T.Pikett.Bereich,1),IF(DAY(R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Q34="B",INDEX(T.Pikett.Bereich,4),IF(Q34="E",INDEX(T.Pikett.Bereich,1),Q34)))),"")</f>
        <v>Nein</v>
      </c>
      <c r="S34" s="91" t="str">
        <f ca="1">IF(EB.Anwendung&lt;&gt;"",IF(EB.Wochenarbeitszeit=50/24,INDEX(T.Pikett.Bereich,1),IF(DAY(S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R34="B",INDEX(T.Pikett.Bereich,4),IF(R34="E",INDEX(T.Pikett.Bereich,1),R34)))),"")</f>
        <v>Nein</v>
      </c>
      <c r="T34" s="91" t="str">
        <f ca="1">IF(EB.Anwendung&lt;&gt;"",IF(EB.Wochenarbeitszeit=50/24,INDEX(T.Pikett.Bereich,1),IF(DAY(T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S34="B",INDEX(T.Pikett.Bereich,4),IF(S34="E",INDEX(T.Pikett.Bereich,1),S34)))),"")</f>
        <v>Nein</v>
      </c>
      <c r="U34" s="91" t="str">
        <f ca="1">IF(EB.Anwendung&lt;&gt;"",IF(EB.Wochenarbeitszeit=50/24,INDEX(T.Pikett.Bereich,1),IF(DAY(U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T34="B",INDEX(T.Pikett.Bereich,4),IF(T34="E",INDEX(T.Pikett.Bereich,1),T34)))),"")</f>
        <v>Nein</v>
      </c>
      <c r="V34" s="91" t="str">
        <f ca="1">IF(EB.Anwendung&lt;&gt;"",IF(EB.Wochenarbeitszeit=50/24,INDEX(T.Pikett.Bereich,1),IF(DAY(V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U34="B",INDEX(T.Pikett.Bereich,4),IF(U34="E",INDEX(T.Pikett.Bereich,1),U34)))),"")</f>
        <v>Nein</v>
      </c>
      <c r="W34" s="91" t="str">
        <f ca="1">IF(EB.Anwendung&lt;&gt;"",IF(EB.Wochenarbeitszeit=50/24,INDEX(T.Pikett.Bereich,1),IF(DAY(W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V34="B",INDEX(T.Pikett.Bereich,4),IF(V34="E",INDEX(T.Pikett.Bereich,1),V34)))),"")</f>
        <v>Nein</v>
      </c>
      <c r="X34" s="91" t="str">
        <f ca="1">IF(EB.Anwendung&lt;&gt;"",IF(EB.Wochenarbeitszeit=50/24,INDEX(T.Pikett.Bereich,1),IF(DAY(X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W34="B",INDEX(T.Pikett.Bereich,4),IF(W34="E",INDEX(T.Pikett.Bereich,1),W34)))),"")</f>
        <v>Nein</v>
      </c>
      <c r="Y34" s="91" t="str">
        <f ca="1">IF(EB.Anwendung&lt;&gt;"",IF(EB.Wochenarbeitszeit=50/24,INDEX(T.Pikett.Bereich,1),IF(DAY(Y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X34="B",INDEX(T.Pikett.Bereich,4),IF(X34="E",INDEX(T.Pikett.Bereich,1),X34)))),"")</f>
        <v>Nein</v>
      </c>
      <c r="Z34" s="91" t="str">
        <f ca="1">IF(EB.Anwendung&lt;&gt;"",IF(EB.Wochenarbeitszeit=50/24,INDEX(T.Pikett.Bereich,1),IF(DAY(Z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Y34="B",INDEX(T.Pikett.Bereich,4),IF(Y34="E",INDEX(T.Pikett.Bereich,1),Y34)))),"")</f>
        <v>Nein</v>
      </c>
      <c r="AA34" s="91" t="str">
        <f ca="1">IF(EB.Anwendung&lt;&gt;"",IF(EB.Wochenarbeitszeit=50/24,INDEX(T.Pikett.Bereich,1),IF(DAY(AA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Z34="B",INDEX(T.Pikett.Bereich,4),IF(Z34="E",INDEX(T.Pikett.Bereich,1),Z34)))),"")</f>
        <v>Nein</v>
      </c>
      <c r="AB34" s="91" t="str">
        <f ca="1">IF(EB.Anwendung&lt;&gt;"",IF(EB.Wochenarbeitszeit=50/24,INDEX(T.Pikett.Bereich,1),IF(DAY(AB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A34="B",INDEX(T.Pikett.Bereich,4),IF(AA34="E",INDEX(T.Pikett.Bereich,1),AA34)))),"")</f>
        <v>Nein</v>
      </c>
      <c r="AC34" s="91" t="str">
        <f ca="1">IF(EB.Anwendung&lt;&gt;"",IF(EB.Wochenarbeitszeit=50/24,INDEX(T.Pikett.Bereich,1),IF(DAY(AC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B34="B",INDEX(T.Pikett.Bereich,4),IF(AB34="E",INDEX(T.Pikett.Bereich,1),AB34)))),"")</f>
        <v>Nein</v>
      </c>
      <c r="AD34" s="91" t="str">
        <f ca="1">IF(EB.Anwendung&lt;&gt;"",IF(EB.Wochenarbeitszeit=50/24,INDEX(T.Pikett.Bereich,1),IF(DAY(AD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C34="B",INDEX(T.Pikett.Bereich,4),IF(AC34="E",INDEX(T.Pikett.Bereich,1),AC34)))),"")</f>
        <v>Nein</v>
      </c>
      <c r="AE34" s="91" t="str">
        <f ca="1">IF(EB.Anwendung&lt;&gt;"",IF(EB.Wochenarbeitszeit=50/24,INDEX(T.Pikett.Bereich,1),IF(DAY(AE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D34="B",INDEX(T.Pikett.Bereich,4),IF(AD34="E",INDEX(T.Pikett.Bereich,1),AD34)))),"")</f>
        <v>Nein</v>
      </c>
      <c r="AF34" s="91" t="str">
        <f ca="1">IF(EB.Anwendung&lt;&gt;"",IF(EB.Wochenarbeitszeit=50/24,INDEX(T.Pikett.Bereich,1),IF(DAY(AF$10)=1,IF(MONTH(Monat.Tag1)=1,INDEX(T.Pikett.Bereich,1),IF(MONTH(Monat.Tag1)=2,Januar!Monat.Pikett,IF(MONTH(Monat.Tag1)=3,Februar!Monat.Pikett,IF(MONTH(Monat.Tag1)=4,März!Monat.Pikett,IF(MONTH(Monat.Tag1)=5,April!Monat.Pikett,IF(MONTH(Monat.Tag1)=6,Mai!Monat.Pikett,IF(MONTH(Monat.Tag1)=7,Juni!Monat.Pikett,IF(MONTH(Monat.Tag1)=8,Juli!Monat.Pikett,IF(MONTH(Monat.Tag1)=9,August!Monat.Pikett,IF(MONTH(Monat.Tag1)=10,September!Monat.Pikett,IF(MONTH(Monat.Tag1)=11,Oktober!Monat.Pikett,IF(MONTH(Monat.Tag1)=12,November!Monat.Pikett,"")))))))))))),IF(AE34="B",INDEX(T.Pikett.Bereich,4),IF(AE34="E",INDEX(T.Pikett.Bereich,1),AE34)))),"")</f>
        <v>Nein</v>
      </c>
      <c r="AG34" s="216" t="str">
        <f ca="1">IF(OFFSET(B34,0,DAY(EOMONTH(Monat.Tag1,0))-1,1,1)="B",INDEX(T.Pikett.Bereich,4),IF(OFFSET(B34,0,DAY(EOMONTH(Monat.Tag1,0))-1,1,1)="E",INDEX(T.Pikett.Bereich,1),OFFSET(B34,0,DAY(EOMONTH(Monat.Tag1,0))-1,1,1)))</f>
        <v>Nein</v>
      </c>
      <c r="AH34" s="227"/>
      <c r="AI34" s="223"/>
      <c r="AJ34" s="228" t="str">
        <f ca="1">IF(T.50_Vetsuisse,IFERROR(SUMPRODUCT((B34:AF34=INDEX(T.Pikett.Bereich,4))*((B49:AF49)&lt;1/24*5)),0) &amp; " / " &amp; IFERROR(SUMPRODUCT((B34:AF34=INDEX(T.Pikett.Bereich,4))*((B49:AF49)&gt;=1/24*5)),0) &amp; " / " &amp; IFERROR(SUMPRODUCT((B34:AF34=INDEX(T.Pikett.Bereich,4))*((B49:AF49)&lt;1/24*5)),0) + IFERROR(SUMPRODUCT((B34:AF34=INDEX(T.Pikett.Bereich,4))*((B49:AF49)&gt;=1/24*5)),0),
IFERROR(SUMPRODUCT((B34:AF34=INDEX(T.Pikett.Bereich,4))*(WEEKDAY(B10:AF10,2)&lt;6)*(B11:AF11&lt;&gt;0)),0) &amp; " / " &amp; IFERROR(SUMPRODUCT((B34:AF34=INDEX(T.Pikett.Bereich,4))*(WEEKDAY(B10:AF10,2)&gt;5)*(B11:AF11&lt;&gt;0))+SUMPRODUCT((B34:AF34=INDEX(T.Pikett.Bereich,4))*(B11:AF11=0)),0) &amp; " / " &amp; IFERROR(SUMPRODUCT((B34:AF34=INDEX(T.Pikett.Bereich,4))*(WEEKDAY(B10:AF10,2)&lt;6)*(B11:AF11&lt;&gt;0)),0) + IFERROR(SUMPRODUCT((B34:AF34=INDEX(T.Pikett.Bereich,4))*(WEEKDAY(B10:AF10,2)&gt;5)*(B11:AF11&lt;&gt;0))+SUMPRODUCT((B34:AF34=INDEX(T.Pikett.Bereich,4))*(B11:AF11=0)),0))</f>
        <v>0 / 0 / 0</v>
      </c>
      <c r="AK34" s="208"/>
      <c r="AL34" s="208"/>
      <c r="AM34" s="208"/>
      <c r="AN34" s="207"/>
      <c r="AO34" s="208"/>
      <c r="AP34" s="208"/>
      <c r="AQ34" s="118"/>
    </row>
    <row r="35" spans="1:43" s="38" customFormat="1" ht="15" customHeight="1" outlineLevel="1" x14ac:dyDescent="0.2">
      <c r="A35" s="211" t="s">
        <v>16</v>
      </c>
      <c r="B35" s="40"/>
      <c r="C35" s="40"/>
      <c r="D35" s="40"/>
      <c r="E35" s="27"/>
      <c r="F35" s="40"/>
      <c r="G35" s="40"/>
      <c r="H35" s="40"/>
      <c r="I35" s="40"/>
      <c r="J35" s="27"/>
      <c r="K35" s="40"/>
      <c r="L35" s="27"/>
      <c r="M35" s="40"/>
      <c r="N35" s="40"/>
      <c r="O35" s="40"/>
      <c r="P35" s="40"/>
      <c r="Q35" s="27"/>
      <c r="R35" s="40"/>
      <c r="S35" s="27"/>
      <c r="T35" s="27"/>
      <c r="U35" s="40"/>
      <c r="V35" s="40"/>
      <c r="W35" s="40"/>
      <c r="X35" s="27"/>
      <c r="Y35" s="40"/>
      <c r="Z35" s="39"/>
      <c r="AA35" s="40"/>
      <c r="AB35" s="40"/>
      <c r="AC35" s="40"/>
      <c r="AD35" s="40"/>
      <c r="AE35" s="27"/>
      <c r="AF35" s="40"/>
      <c r="AG35" s="204" t="str">
        <f t="shared" si="2"/>
        <v>ein</v>
      </c>
      <c r="AH35" s="187"/>
      <c r="AI35" s="212"/>
      <c r="AJ35" s="213"/>
      <c r="AK35" s="208"/>
      <c r="AL35" s="208"/>
      <c r="AM35" s="208"/>
      <c r="AN35" s="207"/>
      <c r="AO35" s="208"/>
      <c r="AP35" s="208"/>
      <c r="AQ35" s="118"/>
    </row>
    <row r="36" spans="1:43" s="38" customFormat="1" ht="15" customHeight="1" outlineLevel="1" x14ac:dyDescent="0.2">
      <c r="A36" s="211" t="s">
        <v>17</v>
      </c>
      <c r="B36" s="40"/>
      <c r="C36" s="40"/>
      <c r="D36" s="40"/>
      <c r="E36" s="27"/>
      <c r="F36" s="40"/>
      <c r="G36" s="40"/>
      <c r="H36" s="40"/>
      <c r="I36" s="40"/>
      <c r="J36" s="27"/>
      <c r="K36" s="40"/>
      <c r="L36" s="27"/>
      <c r="M36" s="40"/>
      <c r="N36" s="40"/>
      <c r="O36" s="40"/>
      <c r="P36" s="40"/>
      <c r="Q36" s="27"/>
      <c r="R36" s="40"/>
      <c r="S36" s="27"/>
      <c r="T36" s="27"/>
      <c r="U36" s="40"/>
      <c r="V36" s="40"/>
      <c r="W36" s="40"/>
      <c r="X36" s="27"/>
      <c r="Y36" s="40"/>
      <c r="Z36" s="39"/>
      <c r="AA36" s="40"/>
      <c r="AB36" s="40"/>
      <c r="AC36" s="40"/>
      <c r="AD36" s="40"/>
      <c r="AE36" s="27"/>
      <c r="AF36" s="40"/>
      <c r="AG36" s="204" t="str">
        <f t="shared" si="2"/>
        <v>aus</v>
      </c>
      <c r="AH36" s="187"/>
      <c r="AI36" s="212"/>
      <c r="AJ36" s="213"/>
      <c r="AK36" s="208"/>
      <c r="AL36" s="208"/>
      <c r="AM36" s="208"/>
      <c r="AN36" s="207"/>
      <c r="AO36" s="208"/>
      <c r="AP36" s="208"/>
      <c r="AQ36" s="118"/>
    </row>
    <row r="37" spans="1:43" s="38" customFormat="1" ht="15" customHeight="1" outlineLevel="1" x14ac:dyDescent="0.2">
      <c r="A37" s="211" t="s">
        <v>16</v>
      </c>
      <c r="B37" s="40"/>
      <c r="C37" s="40"/>
      <c r="D37" s="40"/>
      <c r="E37" s="27"/>
      <c r="F37" s="40"/>
      <c r="G37" s="40"/>
      <c r="H37" s="40"/>
      <c r="I37" s="40"/>
      <c r="J37" s="27"/>
      <c r="K37" s="40"/>
      <c r="L37" s="27"/>
      <c r="M37" s="40"/>
      <c r="N37" s="40"/>
      <c r="O37" s="40"/>
      <c r="P37" s="40"/>
      <c r="Q37" s="27"/>
      <c r="R37" s="40"/>
      <c r="S37" s="27"/>
      <c r="T37" s="27"/>
      <c r="U37" s="40"/>
      <c r="V37" s="40"/>
      <c r="W37" s="40"/>
      <c r="X37" s="27"/>
      <c r="Y37" s="40"/>
      <c r="Z37" s="39"/>
      <c r="AA37" s="40"/>
      <c r="AB37" s="40"/>
      <c r="AC37" s="40"/>
      <c r="AD37" s="40"/>
      <c r="AE37" s="27"/>
      <c r="AF37" s="40"/>
      <c r="AG37" s="204" t="str">
        <f t="shared" si="2"/>
        <v>ein</v>
      </c>
      <c r="AH37" s="187"/>
      <c r="AI37" s="212"/>
      <c r="AJ37" s="213"/>
      <c r="AK37" s="208"/>
      <c r="AL37" s="208"/>
      <c r="AM37" s="208"/>
      <c r="AN37" s="207"/>
      <c r="AO37" s="208"/>
      <c r="AP37" s="208"/>
      <c r="AQ37" s="118"/>
    </row>
    <row r="38" spans="1:43" s="38" customFormat="1" ht="15" customHeight="1" outlineLevel="1" x14ac:dyDescent="0.2">
      <c r="A38" s="211" t="s">
        <v>17</v>
      </c>
      <c r="B38" s="40"/>
      <c r="C38" s="40"/>
      <c r="D38" s="40"/>
      <c r="E38" s="27"/>
      <c r="F38" s="40"/>
      <c r="G38" s="40"/>
      <c r="H38" s="40"/>
      <c r="I38" s="40"/>
      <c r="J38" s="27"/>
      <c r="K38" s="40"/>
      <c r="L38" s="27"/>
      <c r="M38" s="40"/>
      <c r="N38" s="40"/>
      <c r="O38" s="40"/>
      <c r="P38" s="40"/>
      <c r="Q38" s="27"/>
      <c r="R38" s="40"/>
      <c r="S38" s="27"/>
      <c r="T38" s="27"/>
      <c r="U38" s="40"/>
      <c r="V38" s="40"/>
      <c r="W38" s="40"/>
      <c r="X38" s="27"/>
      <c r="Y38" s="40"/>
      <c r="Z38" s="39"/>
      <c r="AA38" s="40"/>
      <c r="AB38" s="40"/>
      <c r="AC38" s="40"/>
      <c r="AD38" s="40"/>
      <c r="AE38" s="27"/>
      <c r="AF38" s="40"/>
      <c r="AG38" s="204" t="str">
        <f t="shared" si="2"/>
        <v>aus</v>
      </c>
      <c r="AH38" s="187"/>
      <c r="AI38" s="212"/>
      <c r="AJ38" s="213"/>
      <c r="AK38" s="208"/>
      <c r="AL38" s="208"/>
      <c r="AM38" s="208"/>
      <c r="AN38" s="207"/>
      <c r="AO38" s="208"/>
      <c r="AP38" s="208"/>
      <c r="AQ38" s="118"/>
    </row>
    <row r="39" spans="1:43" s="38" customFormat="1" ht="15" customHeight="1" outlineLevel="1" x14ac:dyDescent="0.2">
      <c r="A39" s="211" t="s">
        <v>16</v>
      </c>
      <c r="B39" s="40"/>
      <c r="C39" s="40"/>
      <c r="D39" s="40"/>
      <c r="E39" s="27"/>
      <c r="F39" s="40"/>
      <c r="G39" s="40"/>
      <c r="H39" s="40"/>
      <c r="I39" s="40"/>
      <c r="J39" s="27"/>
      <c r="K39" s="40"/>
      <c r="L39" s="27"/>
      <c r="M39" s="40"/>
      <c r="N39" s="40"/>
      <c r="O39" s="40"/>
      <c r="P39" s="40"/>
      <c r="Q39" s="27"/>
      <c r="R39" s="40"/>
      <c r="S39" s="27"/>
      <c r="T39" s="27"/>
      <c r="U39" s="40"/>
      <c r="V39" s="40"/>
      <c r="W39" s="40"/>
      <c r="X39" s="27"/>
      <c r="Y39" s="40"/>
      <c r="Z39" s="39"/>
      <c r="AA39" s="40"/>
      <c r="AB39" s="40"/>
      <c r="AC39" s="40"/>
      <c r="AD39" s="40"/>
      <c r="AE39" s="27"/>
      <c r="AF39" s="40"/>
      <c r="AG39" s="204" t="str">
        <f t="shared" si="2"/>
        <v>ein</v>
      </c>
      <c r="AH39" s="187"/>
      <c r="AI39" s="212"/>
      <c r="AJ39" s="213"/>
      <c r="AK39" s="208"/>
      <c r="AL39" s="208"/>
      <c r="AM39" s="208"/>
      <c r="AN39" s="207"/>
      <c r="AO39" s="208"/>
      <c r="AP39" s="208"/>
      <c r="AQ39" s="118"/>
    </row>
    <row r="40" spans="1:43" s="38" customFormat="1" ht="15" customHeight="1" outlineLevel="1" x14ac:dyDescent="0.2">
      <c r="A40" s="211" t="s">
        <v>17</v>
      </c>
      <c r="B40" s="40"/>
      <c r="C40" s="40"/>
      <c r="D40" s="40"/>
      <c r="E40" s="27"/>
      <c r="F40" s="40"/>
      <c r="G40" s="40"/>
      <c r="H40" s="40"/>
      <c r="I40" s="40"/>
      <c r="J40" s="27"/>
      <c r="K40" s="40"/>
      <c r="L40" s="27"/>
      <c r="M40" s="40"/>
      <c r="N40" s="40"/>
      <c r="O40" s="40"/>
      <c r="P40" s="40"/>
      <c r="Q40" s="27"/>
      <c r="R40" s="40"/>
      <c r="S40" s="27"/>
      <c r="T40" s="27"/>
      <c r="U40" s="40"/>
      <c r="V40" s="40"/>
      <c r="W40" s="40"/>
      <c r="X40" s="27"/>
      <c r="Y40" s="40"/>
      <c r="Z40" s="39"/>
      <c r="AA40" s="40"/>
      <c r="AB40" s="40"/>
      <c r="AC40" s="40"/>
      <c r="AD40" s="40"/>
      <c r="AE40" s="27"/>
      <c r="AF40" s="40"/>
      <c r="AG40" s="204" t="str">
        <f t="shared" si="2"/>
        <v>aus</v>
      </c>
      <c r="AH40" s="187"/>
      <c r="AI40" s="212"/>
      <c r="AJ40" s="213"/>
      <c r="AK40" s="208"/>
      <c r="AL40" s="208"/>
      <c r="AM40" s="208"/>
      <c r="AN40" s="207"/>
      <c r="AO40" s="208"/>
      <c r="AP40" s="208"/>
      <c r="AQ40" s="118"/>
    </row>
    <row r="41" spans="1:43" s="38" customFormat="1" ht="15" hidden="1" customHeight="1" outlineLevel="1" x14ac:dyDescent="0.2">
      <c r="A41" s="211" t="s">
        <v>16</v>
      </c>
      <c r="B41" s="40"/>
      <c r="C41" s="40"/>
      <c r="D41" s="40"/>
      <c r="E41" s="27"/>
      <c r="F41" s="40"/>
      <c r="G41" s="40"/>
      <c r="H41" s="40"/>
      <c r="I41" s="40"/>
      <c r="J41" s="27"/>
      <c r="K41" s="40"/>
      <c r="L41" s="27"/>
      <c r="M41" s="40"/>
      <c r="N41" s="40"/>
      <c r="O41" s="40"/>
      <c r="P41" s="40"/>
      <c r="Q41" s="27"/>
      <c r="R41" s="40"/>
      <c r="S41" s="27"/>
      <c r="T41" s="27"/>
      <c r="U41" s="40"/>
      <c r="V41" s="40"/>
      <c r="W41" s="40"/>
      <c r="X41" s="27"/>
      <c r="Y41" s="40"/>
      <c r="Z41" s="39"/>
      <c r="AA41" s="40"/>
      <c r="AB41" s="40"/>
      <c r="AC41" s="40"/>
      <c r="AD41" s="40"/>
      <c r="AE41" s="27"/>
      <c r="AF41" s="40"/>
      <c r="AG41" s="204" t="str">
        <f t="shared" si="2"/>
        <v>ein</v>
      </c>
      <c r="AH41" s="187"/>
      <c r="AI41" s="212"/>
      <c r="AJ41" s="213"/>
      <c r="AK41" s="208"/>
      <c r="AL41" s="208"/>
      <c r="AM41" s="208"/>
      <c r="AN41" s="207"/>
      <c r="AO41" s="208"/>
      <c r="AP41" s="208"/>
      <c r="AQ41" s="118"/>
    </row>
    <row r="42" spans="1:43" s="38" customFormat="1" ht="15" hidden="1" customHeight="1" outlineLevel="1" x14ac:dyDescent="0.2">
      <c r="A42" s="211" t="s">
        <v>17</v>
      </c>
      <c r="B42" s="40"/>
      <c r="C42" s="40"/>
      <c r="D42" s="40"/>
      <c r="E42" s="27"/>
      <c r="F42" s="40"/>
      <c r="G42" s="40"/>
      <c r="H42" s="40"/>
      <c r="I42" s="40"/>
      <c r="J42" s="27"/>
      <c r="K42" s="40"/>
      <c r="L42" s="27"/>
      <c r="M42" s="40"/>
      <c r="N42" s="40"/>
      <c r="O42" s="40"/>
      <c r="P42" s="40"/>
      <c r="Q42" s="27"/>
      <c r="R42" s="40"/>
      <c r="S42" s="27"/>
      <c r="T42" s="27"/>
      <c r="U42" s="40"/>
      <c r="V42" s="40"/>
      <c r="W42" s="40"/>
      <c r="X42" s="27"/>
      <c r="Y42" s="40"/>
      <c r="Z42" s="39"/>
      <c r="AA42" s="40"/>
      <c r="AB42" s="40"/>
      <c r="AC42" s="40"/>
      <c r="AD42" s="40"/>
      <c r="AE42" s="27"/>
      <c r="AF42" s="40"/>
      <c r="AG42" s="204" t="str">
        <f t="shared" si="2"/>
        <v>aus</v>
      </c>
      <c r="AH42" s="187"/>
      <c r="AI42" s="212"/>
      <c r="AJ42" s="213"/>
      <c r="AK42" s="208"/>
      <c r="AL42" s="208"/>
      <c r="AM42" s="208"/>
      <c r="AN42" s="207"/>
      <c r="AO42" s="208"/>
      <c r="AP42" s="208"/>
      <c r="AQ42" s="118"/>
    </row>
    <row r="43" spans="1:43" s="38" customFormat="1" ht="15" hidden="1" customHeight="1" outlineLevel="1" x14ac:dyDescent="0.2">
      <c r="A43" s="211" t="s">
        <v>16</v>
      </c>
      <c r="B43" s="40"/>
      <c r="C43" s="40"/>
      <c r="D43" s="40"/>
      <c r="E43" s="27"/>
      <c r="F43" s="40"/>
      <c r="G43" s="40"/>
      <c r="H43" s="40"/>
      <c r="I43" s="40"/>
      <c r="J43" s="27"/>
      <c r="K43" s="40"/>
      <c r="L43" s="27"/>
      <c r="M43" s="40"/>
      <c r="N43" s="40"/>
      <c r="O43" s="40"/>
      <c r="P43" s="40"/>
      <c r="Q43" s="27"/>
      <c r="R43" s="40"/>
      <c r="S43" s="27"/>
      <c r="T43" s="27"/>
      <c r="U43" s="40"/>
      <c r="V43" s="40"/>
      <c r="W43" s="40"/>
      <c r="X43" s="27"/>
      <c r="Y43" s="40"/>
      <c r="Z43" s="39"/>
      <c r="AA43" s="40"/>
      <c r="AB43" s="40"/>
      <c r="AC43" s="40"/>
      <c r="AD43" s="40"/>
      <c r="AE43" s="27"/>
      <c r="AF43" s="40"/>
      <c r="AG43" s="204" t="str">
        <f t="shared" si="2"/>
        <v>ein</v>
      </c>
      <c r="AH43" s="187"/>
      <c r="AI43" s="212"/>
      <c r="AJ43" s="213"/>
      <c r="AK43" s="208"/>
      <c r="AL43" s="208"/>
      <c r="AM43" s="208"/>
      <c r="AN43" s="207"/>
      <c r="AO43" s="208"/>
      <c r="AP43" s="208"/>
      <c r="AQ43" s="118"/>
    </row>
    <row r="44" spans="1:43" s="38" customFormat="1" ht="15" hidden="1" customHeight="1" outlineLevel="1" x14ac:dyDescent="0.2">
      <c r="A44" s="211" t="s">
        <v>17</v>
      </c>
      <c r="B44" s="40"/>
      <c r="C44" s="40"/>
      <c r="D44" s="40"/>
      <c r="E44" s="27"/>
      <c r="F44" s="40"/>
      <c r="G44" s="40"/>
      <c r="H44" s="40"/>
      <c r="I44" s="40"/>
      <c r="J44" s="27"/>
      <c r="K44" s="40"/>
      <c r="L44" s="27"/>
      <c r="M44" s="40"/>
      <c r="N44" s="40"/>
      <c r="O44" s="40"/>
      <c r="P44" s="40"/>
      <c r="Q44" s="27"/>
      <c r="R44" s="40"/>
      <c r="S44" s="27"/>
      <c r="T44" s="27"/>
      <c r="U44" s="40"/>
      <c r="V44" s="40"/>
      <c r="W44" s="40"/>
      <c r="X44" s="27"/>
      <c r="Y44" s="40"/>
      <c r="Z44" s="39"/>
      <c r="AA44" s="40"/>
      <c r="AB44" s="40"/>
      <c r="AC44" s="40"/>
      <c r="AD44" s="40"/>
      <c r="AE44" s="27"/>
      <c r="AF44" s="40"/>
      <c r="AG44" s="204" t="str">
        <f t="shared" si="2"/>
        <v>aus</v>
      </c>
      <c r="AH44" s="187"/>
      <c r="AI44" s="212"/>
      <c r="AJ44" s="213"/>
      <c r="AK44" s="208"/>
      <c r="AL44" s="208"/>
      <c r="AM44" s="208"/>
      <c r="AN44" s="207"/>
      <c r="AO44" s="208"/>
      <c r="AP44" s="208"/>
      <c r="AQ44" s="118"/>
    </row>
    <row r="45" spans="1:43" s="38" customFormat="1" ht="15" customHeight="1" outlineLevel="1" x14ac:dyDescent="0.2">
      <c r="A45" s="214" t="s">
        <v>190</v>
      </c>
      <c r="B45" s="215">
        <f>ROUND(((B36-B35)+(B38-B37)+(B40-B39)+(B42-B41)+(B44-B43))*1440,0)/1440</f>
        <v>0</v>
      </c>
      <c r="C45" s="215">
        <f t="shared" ref="C45:AF45" si="9">ROUND(((C36-C35)+(C38-C37)+(C40-C39)+(C42-C41)+(C44-C43))*1440,0)/1440</f>
        <v>0</v>
      </c>
      <c r="D45" s="215">
        <f t="shared" si="9"/>
        <v>0</v>
      </c>
      <c r="E45" s="215">
        <f t="shared" si="9"/>
        <v>0</v>
      </c>
      <c r="F45" s="215">
        <f t="shared" si="9"/>
        <v>0</v>
      </c>
      <c r="G45" s="215">
        <f t="shared" si="9"/>
        <v>0</v>
      </c>
      <c r="H45" s="215">
        <f t="shared" si="9"/>
        <v>0</v>
      </c>
      <c r="I45" s="215">
        <f t="shared" si="9"/>
        <v>0</v>
      </c>
      <c r="J45" s="215">
        <f t="shared" si="9"/>
        <v>0</v>
      </c>
      <c r="K45" s="215">
        <f t="shared" si="9"/>
        <v>0</v>
      </c>
      <c r="L45" s="215">
        <f t="shared" si="9"/>
        <v>0</v>
      </c>
      <c r="M45" s="215">
        <f t="shared" si="9"/>
        <v>0</v>
      </c>
      <c r="N45" s="215">
        <f t="shared" si="9"/>
        <v>0</v>
      </c>
      <c r="O45" s="215">
        <f t="shared" si="9"/>
        <v>0</v>
      </c>
      <c r="P45" s="215">
        <f t="shared" si="9"/>
        <v>0</v>
      </c>
      <c r="Q45" s="215">
        <f t="shared" si="9"/>
        <v>0</v>
      </c>
      <c r="R45" s="215">
        <f t="shared" si="9"/>
        <v>0</v>
      </c>
      <c r="S45" s="215">
        <f t="shared" si="9"/>
        <v>0</v>
      </c>
      <c r="T45" s="215">
        <f t="shared" si="9"/>
        <v>0</v>
      </c>
      <c r="U45" s="215">
        <f t="shared" si="9"/>
        <v>0</v>
      </c>
      <c r="V45" s="215">
        <f t="shared" si="9"/>
        <v>0</v>
      </c>
      <c r="W45" s="215">
        <f t="shared" si="9"/>
        <v>0</v>
      </c>
      <c r="X45" s="215">
        <f t="shared" si="9"/>
        <v>0</v>
      </c>
      <c r="Y45" s="215">
        <f t="shared" si="9"/>
        <v>0</v>
      </c>
      <c r="Z45" s="215">
        <f t="shared" si="9"/>
        <v>0</v>
      </c>
      <c r="AA45" s="215">
        <f t="shared" si="9"/>
        <v>0</v>
      </c>
      <c r="AB45" s="215">
        <f t="shared" si="9"/>
        <v>0</v>
      </c>
      <c r="AC45" s="215">
        <f t="shared" si="9"/>
        <v>0</v>
      </c>
      <c r="AD45" s="215">
        <f t="shared" si="9"/>
        <v>0</v>
      </c>
      <c r="AE45" s="215">
        <f t="shared" si="9"/>
        <v>0</v>
      </c>
      <c r="AF45" s="215">
        <f t="shared" si="9"/>
        <v>0</v>
      </c>
      <c r="AG45" s="216" t="str">
        <f t="shared" si="2"/>
        <v>Total Pikett ein/aus</v>
      </c>
      <c r="AH45" s="217"/>
      <c r="AI45" s="218">
        <f>SUM(B45:AF45)</f>
        <v>0</v>
      </c>
      <c r="AJ45" s="213"/>
      <c r="AK45" s="208"/>
      <c r="AL45" s="208"/>
      <c r="AM45" s="208"/>
      <c r="AN45" s="207"/>
      <c r="AO45" s="208"/>
      <c r="AP45" s="208"/>
      <c r="AQ45" s="118"/>
    </row>
    <row r="46" spans="1:43" s="38" customFormat="1" ht="3.75" customHeight="1" x14ac:dyDescent="0.2">
      <c r="A46" s="219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212"/>
      <c r="AG46" s="204"/>
      <c r="AH46" s="187"/>
      <c r="AI46" s="212"/>
      <c r="AJ46" s="213"/>
      <c r="AK46" s="208"/>
      <c r="AL46" s="208"/>
      <c r="AM46" s="208"/>
      <c r="AN46" s="207"/>
      <c r="AO46" s="208"/>
      <c r="AP46" s="208"/>
      <c r="AQ46" s="118"/>
    </row>
    <row r="47" spans="1:43" s="38" customFormat="1" ht="16.5" hidden="1" customHeight="1" outlineLevel="1" x14ac:dyDescent="0.2">
      <c r="A47" s="214" t="s">
        <v>222</v>
      </c>
      <c r="B47" s="215">
        <f t="shared" ref="B47:AF47" si="10">IF(B45&gt;0,ROUND((B45-
IF(B35&lt;T.PikettVetsuissebis,MIN(T.PikettVetsuissebis-B35,B36-B35)+IF(B37&lt;T.PikettVetsuissebis,MIN(T.PikettVetsuissebis-B37,B38-B37)+IF(B39&lt;T.PikettVetsuissebis,MIN(T.PikettVetsuissebis-B39,B40-B39)+IF(B41&lt;T.PikettVetsuissebis,MIN(T.PikettVetsuissebis-B41,B42-B41)+IF(B43&lt;T.PikettVetsuissebis,MIN(T.PikettVetsuissebis-B43,B44-B43),0),0),0),0),0))*1440,0)/1440,0)</f>
        <v>0</v>
      </c>
      <c r="C47" s="215">
        <f t="shared" si="10"/>
        <v>0</v>
      </c>
      <c r="D47" s="215">
        <f t="shared" si="10"/>
        <v>0</v>
      </c>
      <c r="E47" s="215">
        <f t="shared" si="10"/>
        <v>0</v>
      </c>
      <c r="F47" s="215">
        <f t="shared" si="10"/>
        <v>0</v>
      </c>
      <c r="G47" s="215">
        <f t="shared" si="10"/>
        <v>0</v>
      </c>
      <c r="H47" s="215">
        <f t="shared" si="10"/>
        <v>0</v>
      </c>
      <c r="I47" s="215">
        <f t="shared" si="10"/>
        <v>0</v>
      </c>
      <c r="J47" s="215">
        <f t="shared" si="10"/>
        <v>0</v>
      </c>
      <c r="K47" s="215">
        <f t="shared" si="10"/>
        <v>0</v>
      </c>
      <c r="L47" s="215">
        <f t="shared" si="10"/>
        <v>0</v>
      </c>
      <c r="M47" s="215">
        <f t="shared" si="10"/>
        <v>0</v>
      </c>
      <c r="N47" s="215">
        <f t="shared" si="10"/>
        <v>0</v>
      </c>
      <c r="O47" s="215">
        <f t="shared" si="10"/>
        <v>0</v>
      </c>
      <c r="P47" s="215">
        <f t="shared" si="10"/>
        <v>0</v>
      </c>
      <c r="Q47" s="215">
        <f t="shared" si="10"/>
        <v>0</v>
      </c>
      <c r="R47" s="215">
        <f t="shared" si="10"/>
        <v>0</v>
      </c>
      <c r="S47" s="215">
        <f t="shared" si="10"/>
        <v>0</v>
      </c>
      <c r="T47" s="215">
        <f t="shared" si="10"/>
        <v>0</v>
      </c>
      <c r="U47" s="215">
        <f t="shared" si="10"/>
        <v>0</v>
      </c>
      <c r="V47" s="215">
        <f t="shared" si="10"/>
        <v>0</v>
      </c>
      <c r="W47" s="215">
        <f t="shared" si="10"/>
        <v>0</v>
      </c>
      <c r="X47" s="215">
        <f t="shared" si="10"/>
        <v>0</v>
      </c>
      <c r="Y47" s="215">
        <f t="shared" si="10"/>
        <v>0</v>
      </c>
      <c r="Z47" s="215">
        <f t="shared" si="10"/>
        <v>0</v>
      </c>
      <c r="AA47" s="215">
        <f t="shared" si="10"/>
        <v>0</v>
      </c>
      <c r="AB47" s="215">
        <f t="shared" si="10"/>
        <v>0</v>
      </c>
      <c r="AC47" s="215">
        <f t="shared" si="10"/>
        <v>0</v>
      </c>
      <c r="AD47" s="215">
        <f t="shared" si="10"/>
        <v>0</v>
      </c>
      <c r="AE47" s="215">
        <f t="shared" si="10"/>
        <v>0</v>
      </c>
      <c r="AF47" s="215">
        <f t="shared" si="10"/>
        <v>0</v>
      </c>
      <c r="AG47" s="216" t="str">
        <f t="shared" si="2"/>
        <v>Total Pikettstunden heute</v>
      </c>
      <c r="AH47" s="187"/>
      <c r="AI47" s="212"/>
      <c r="AJ47" s="213"/>
      <c r="AK47" s="208"/>
      <c r="AL47" s="208"/>
      <c r="AM47" s="208"/>
      <c r="AN47" s="207"/>
      <c r="AO47" s="208"/>
      <c r="AP47" s="208"/>
      <c r="AQ47" s="118"/>
    </row>
    <row r="48" spans="1:43" s="38" customFormat="1" ht="16.5" hidden="1" customHeight="1" outlineLevel="1" x14ac:dyDescent="0.2">
      <c r="A48" s="214" t="s">
        <v>223</v>
      </c>
      <c r="B48" s="224">
        <f t="shared" ref="B48:AF48" si="11">B45-B47</f>
        <v>0</v>
      </c>
      <c r="C48" s="224">
        <f t="shared" si="11"/>
        <v>0</v>
      </c>
      <c r="D48" s="224">
        <f t="shared" si="11"/>
        <v>0</v>
      </c>
      <c r="E48" s="224">
        <f t="shared" si="11"/>
        <v>0</v>
      </c>
      <c r="F48" s="224">
        <f t="shared" si="11"/>
        <v>0</v>
      </c>
      <c r="G48" s="224">
        <f t="shared" si="11"/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224">
        <f t="shared" si="11"/>
        <v>0</v>
      </c>
      <c r="AA48" s="224">
        <f t="shared" si="11"/>
        <v>0</v>
      </c>
      <c r="AB48" s="224">
        <f t="shared" si="11"/>
        <v>0</v>
      </c>
      <c r="AC48" s="224">
        <f t="shared" si="11"/>
        <v>0</v>
      </c>
      <c r="AD48" s="224">
        <f t="shared" si="11"/>
        <v>0</v>
      </c>
      <c r="AE48" s="224">
        <f t="shared" si="11"/>
        <v>0</v>
      </c>
      <c r="AF48" s="224">
        <f t="shared" si="11"/>
        <v>0</v>
      </c>
      <c r="AG48" s="216" t="str">
        <f t="shared" si="2"/>
        <v>Total Pikettstunden gestern</v>
      </c>
      <c r="AH48" s="187"/>
      <c r="AI48" s="212"/>
      <c r="AJ48" s="213"/>
      <c r="AK48" s="208"/>
      <c r="AL48" s="208"/>
      <c r="AM48" s="229">
        <f ca="1">IF(EB.Anwendung&lt;&gt;"",IF(MONTH(Monat.Tag1)=12,0,IF(MONTH(Monat.Tag1)=1,Februar!Monat.PikettgesternTag1,IF(MONTH(Monat.Tag1)=2,März!Monat.PikettgesternTag1,IF(MONTH(Monat.Tag1)=3,April!Monat.PikettgesternTag1,IF(MONTH(Monat.Tag1)=4,Mai!Monat.PikettgesternTag1,IF(MONTH(Monat.Tag1)=5,Juni!Monat.PikettgesternTag1,IF(MONTH(Monat.Tag1)=6,Juli!Monat.PikettgesternTag1,IF(MONTH(Monat.Tag1)=7,August!Monat.PikettgesternTag1,IF(MONTH(Monat.Tag1)=8,September!Monat.PikettgesternTag1,IF(MONTH(Monat.Tag1)=9,Oktober!Monat.PikettgesternTag1,IF(MONTH(Monat.Tag1)=10,November!Monat.PikettgesternTag1,IF(MONTH(Monat.Tag1)=11,Dezember!Monat.PikettgesternTag1,"")))))))))))),"")</f>
        <v>0</v>
      </c>
      <c r="AN48" s="207"/>
      <c r="AO48" s="208"/>
      <c r="AP48" s="208"/>
      <c r="AQ48" s="118"/>
    </row>
    <row r="49" spans="1:43" s="38" customFormat="1" ht="16.5" hidden="1" customHeight="1" outlineLevel="1" x14ac:dyDescent="0.2">
      <c r="A49" s="214" t="s">
        <v>219</v>
      </c>
      <c r="B49" s="215">
        <f ca="1">B47+IF(B$10=EOMONTH(B$10,0),$AM48,OFFSET(B48,0,1))</f>
        <v>0</v>
      </c>
      <c r="C49" s="215">
        <f t="shared" ref="C49:AF49" ca="1" si="12">C47+IF(C$10=EOMONTH(C$10,0),$AM48,OFFSET(C48,0,1))</f>
        <v>0</v>
      </c>
      <c r="D49" s="215">
        <f t="shared" ca="1" si="12"/>
        <v>0</v>
      </c>
      <c r="E49" s="215">
        <f t="shared" ca="1" si="12"/>
        <v>0</v>
      </c>
      <c r="F49" s="215">
        <f t="shared" ca="1" si="12"/>
        <v>0</v>
      </c>
      <c r="G49" s="215">
        <f t="shared" ca="1" si="12"/>
        <v>0</v>
      </c>
      <c r="H49" s="215">
        <f t="shared" ca="1" si="12"/>
        <v>0</v>
      </c>
      <c r="I49" s="215">
        <f t="shared" ca="1" si="12"/>
        <v>0</v>
      </c>
      <c r="J49" s="215">
        <f t="shared" ca="1" si="12"/>
        <v>0</v>
      </c>
      <c r="K49" s="215">
        <f t="shared" ca="1" si="12"/>
        <v>0</v>
      </c>
      <c r="L49" s="215">
        <f t="shared" ca="1" si="12"/>
        <v>0</v>
      </c>
      <c r="M49" s="215">
        <f t="shared" ca="1" si="12"/>
        <v>0</v>
      </c>
      <c r="N49" s="215">
        <f t="shared" ca="1" si="12"/>
        <v>0</v>
      </c>
      <c r="O49" s="215">
        <f t="shared" ca="1" si="12"/>
        <v>0</v>
      </c>
      <c r="P49" s="215">
        <f t="shared" ca="1" si="12"/>
        <v>0</v>
      </c>
      <c r="Q49" s="215">
        <f t="shared" ca="1" si="12"/>
        <v>0</v>
      </c>
      <c r="R49" s="215">
        <f t="shared" ca="1" si="12"/>
        <v>0</v>
      </c>
      <c r="S49" s="215">
        <f t="shared" ca="1" si="12"/>
        <v>0</v>
      </c>
      <c r="T49" s="215">
        <f t="shared" ca="1" si="12"/>
        <v>0</v>
      </c>
      <c r="U49" s="215">
        <f t="shared" ca="1" si="12"/>
        <v>0</v>
      </c>
      <c r="V49" s="215">
        <f t="shared" ca="1" si="12"/>
        <v>0</v>
      </c>
      <c r="W49" s="215">
        <f t="shared" ca="1" si="12"/>
        <v>0</v>
      </c>
      <c r="X49" s="215">
        <f t="shared" ca="1" si="12"/>
        <v>0</v>
      </c>
      <c r="Y49" s="215">
        <f t="shared" ca="1" si="12"/>
        <v>0</v>
      </c>
      <c r="Z49" s="215">
        <f t="shared" ca="1" si="12"/>
        <v>0</v>
      </c>
      <c r="AA49" s="215">
        <f t="shared" ca="1" si="12"/>
        <v>0</v>
      </c>
      <c r="AB49" s="215">
        <f t="shared" ca="1" si="12"/>
        <v>0</v>
      </c>
      <c r="AC49" s="215">
        <f t="shared" ca="1" si="12"/>
        <v>0</v>
      </c>
      <c r="AD49" s="215">
        <f t="shared" ca="1" si="12"/>
        <v>0</v>
      </c>
      <c r="AE49" s="215">
        <f t="shared" ca="1" si="12"/>
        <v>0</v>
      </c>
      <c r="AF49" s="215">
        <f t="shared" ca="1" si="12"/>
        <v>0</v>
      </c>
      <c r="AG49" s="216" t="str">
        <f t="shared" si="2"/>
        <v>Total Pikettdienststunden</v>
      </c>
      <c r="AH49" s="217"/>
      <c r="AI49" s="218">
        <f ca="1">SUM(B49:AF49)</f>
        <v>0</v>
      </c>
      <c r="AJ49" s="213"/>
      <c r="AK49" s="208"/>
      <c r="AL49" s="208"/>
      <c r="AM49" s="208"/>
      <c r="AN49" s="207"/>
      <c r="AO49" s="208"/>
      <c r="AP49" s="208"/>
      <c r="AQ49" s="118"/>
    </row>
    <row r="50" spans="1:43" s="38" customFormat="1" ht="3.75" customHeight="1" collapsed="1" x14ac:dyDescent="0.2">
      <c r="A50" s="23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31"/>
      <c r="AH50" s="232"/>
      <c r="AI50" s="221"/>
      <c r="AJ50" s="213"/>
      <c r="AK50" s="208"/>
      <c r="AL50" s="208"/>
      <c r="AM50" s="208"/>
      <c r="AN50" s="207"/>
      <c r="AO50" s="208"/>
      <c r="AP50" s="208"/>
      <c r="AQ50" s="118"/>
    </row>
    <row r="51" spans="1:43" s="38" customFormat="1" ht="15" customHeight="1" x14ac:dyDescent="0.2">
      <c r="A51" s="214" t="s">
        <v>109</v>
      </c>
      <c r="B51" s="233">
        <f t="shared" ref="B51:AF51" si="13">ROUND((B23+B45+B84+SUM(B86:B95)+IF(OR(T.50_Vetsuisse,T.ServiceCenterIrchel,T.MedizinischeMikrobiologie),B71,0))*1440,0)/1440</f>
        <v>0</v>
      </c>
      <c r="C51" s="233">
        <f t="shared" si="13"/>
        <v>0</v>
      </c>
      <c r="D51" s="233">
        <f t="shared" si="13"/>
        <v>0</v>
      </c>
      <c r="E51" s="234">
        <f t="shared" si="13"/>
        <v>0</v>
      </c>
      <c r="F51" s="233">
        <f t="shared" si="13"/>
        <v>0</v>
      </c>
      <c r="G51" s="233">
        <f t="shared" si="13"/>
        <v>0</v>
      </c>
      <c r="H51" s="233">
        <f t="shared" si="13"/>
        <v>0</v>
      </c>
      <c r="I51" s="233">
        <f t="shared" si="13"/>
        <v>0</v>
      </c>
      <c r="J51" s="235">
        <f t="shared" si="13"/>
        <v>0</v>
      </c>
      <c r="K51" s="233">
        <f t="shared" si="13"/>
        <v>0</v>
      </c>
      <c r="L51" s="235">
        <f t="shared" si="13"/>
        <v>0</v>
      </c>
      <c r="M51" s="233">
        <f t="shared" si="13"/>
        <v>0</v>
      </c>
      <c r="N51" s="233">
        <f t="shared" si="13"/>
        <v>0</v>
      </c>
      <c r="O51" s="233">
        <f t="shared" si="13"/>
        <v>0</v>
      </c>
      <c r="P51" s="233">
        <f t="shared" si="13"/>
        <v>0</v>
      </c>
      <c r="Q51" s="235">
        <f t="shared" si="13"/>
        <v>0</v>
      </c>
      <c r="R51" s="233">
        <f t="shared" si="13"/>
        <v>0</v>
      </c>
      <c r="S51" s="235">
        <f t="shared" si="13"/>
        <v>0</v>
      </c>
      <c r="T51" s="235">
        <f t="shared" si="13"/>
        <v>0</v>
      </c>
      <c r="U51" s="233">
        <f t="shared" si="13"/>
        <v>0</v>
      </c>
      <c r="V51" s="233">
        <f t="shared" si="13"/>
        <v>0</v>
      </c>
      <c r="W51" s="233">
        <f t="shared" si="13"/>
        <v>0</v>
      </c>
      <c r="X51" s="235">
        <f t="shared" si="13"/>
        <v>0</v>
      </c>
      <c r="Y51" s="233">
        <f t="shared" si="13"/>
        <v>0</v>
      </c>
      <c r="Z51" s="236">
        <f t="shared" si="13"/>
        <v>0</v>
      </c>
      <c r="AA51" s="233">
        <f t="shared" si="13"/>
        <v>0</v>
      </c>
      <c r="AB51" s="233">
        <f t="shared" si="13"/>
        <v>0</v>
      </c>
      <c r="AC51" s="233">
        <f t="shared" si="13"/>
        <v>0</v>
      </c>
      <c r="AD51" s="233">
        <f t="shared" si="13"/>
        <v>0</v>
      </c>
      <c r="AE51" s="235">
        <f t="shared" si="13"/>
        <v>0</v>
      </c>
      <c r="AF51" s="233">
        <f t="shared" si="13"/>
        <v>0</v>
      </c>
      <c r="AG51" s="216" t="str">
        <f t="shared" si="2"/>
        <v>Arbeitszeit IST</v>
      </c>
      <c r="AH51" s="217"/>
      <c r="AI51" s="237">
        <f>SUM(B51:AF51)</f>
        <v>0</v>
      </c>
      <c r="AJ51" s="213"/>
      <c r="AK51" s="208" t="str">
        <f>IF(T.MedizinischeMikrobiologie,Monat.ZZSND.Total,"")</f>
        <v/>
      </c>
      <c r="AL51" s="208"/>
      <c r="AM51" s="208"/>
      <c r="AN51" s="208" t="str">
        <f>IF(T.MedizinischeMikrobiologie,SUM(AI51,AK51),"")</f>
        <v/>
      </c>
      <c r="AO51" s="208"/>
      <c r="AP51" s="208"/>
      <c r="AQ51" s="118"/>
    </row>
    <row r="52" spans="1:43" s="38" customFormat="1" ht="15" customHeight="1" outlineLevel="1" x14ac:dyDescent="0.2">
      <c r="A52" s="211" t="s">
        <v>197</v>
      </c>
      <c r="B52" s="78">
        <f t="shared" ref="B52:AF52" ca="1" si="14">IF(B$12=0,0,ROUND(INDEX(Monat.RAZ1_7.Bereich,WEEKDAY(B$10,2))*B$11*1440,0)/1440)</f>
        <v>0</v>
      </c>
      <c r="C52" s="78">
        <f t="shared" ca="1" si="14"/>
        <v>0.35</v>
      </c>
      <c r="D52" s="79">
        <f t="shared" ca="1" si="14"/>
        <v>0.35</v>
      </c>
      <c r="E52" s="78">
        <f t="shared" ca="1" si="14"/>
        <v>0.35</v>
      </c>
      <c r="F52" s="79">
        <f t="shared" ca="1" si="14"/>
        <v>0.35</v>
      </c>
      <c r="G52" s="79">
        <f t="shared" ca="1" si="14"/>
        <v>0</v>
      </c>
      <c r="H52" s="79">
        <f t="shared" ca="1" si="14"/>
        <v>0</v>
      </c>
      <c r="I52" s="79">
        <f t="shared" ca="1" si="14"/>
        <v>0.35</v>
      </c>
      <c r="J52" s="78">
        <f t="shared" ca="1" si="14"/>
        <v>0.35</v>
      </c>
      <c r="K52" s="79">
        <f t="shared" ca="1" si="14"/>
        <v>0.35</v>
      </c>
      <c r="L52" s="78">
        <f t="shared" ca="1" si="14"/>
        <v>0.35</v>
      </c>
      <c r="M52" s="79">
        <f t="shared" ca="1" si="14"/>
        <v>0.35</v>
      </c>
      <c r="N52" s="79">
        <f t="shared" ca="1" si="14"/>
        <v>0</v>
      </c>
      <c r="O52" s="79">
        <f t="shared" ca="1" si="14"/>
        <v>0</v>
      </c>
      <c r="P52" s="79">
        <f t="shared" ca="1" si="14"/>
        <v>0.35</v>
      </c>
      <c r="Q52" s="78">
        <f t="shared" ca="1" si="14"/>
        <v>0.35</v>
      </c>
      <c r="R52" s="79">
        <f t="shared" ca="1" si="14"/>
        <v>0.35</v>
      </c>
      <c r="S52" s="78">
        <f t="shared" ca="1" si="14"/>
        <v>0.35</v>
      </c>
      <c r="T52" s="78">
        <f t="shared" ca="1" si="14"/>
        <v>0.35</v>
      </c>
      <c r="U52" s="79">
        <f t="shared" ca="1" si="14"/>
        <v>0</v>
      </c>
      <c r="V52" s="79">
        <f t="shared" ca="1" si="14"/>
        <v>0</v>
      </c>
      <c r="W52" s="79">
        <f t="shared" ca="1" si="14"/>
        <v>0.35</v>
      </c>
      <c r="X52" s="78">
        <f t="shared" ca="1" si="14"/>
        <v>0.35</v>
      </c>
      <c r="Y52" s="79">
        <f t="shared" ca="1" si="14"/>
        <v>0.35</v>
      </c>
      <c r="Z52" s="80">
        <f t="shared" ca="1" si="14"/>
        <v>0.35</v>
      </c>
      <c r="AA52" s="79">
        <f t="shared" ca="1" si="14"/>
        <v>0.35</v>
      </c>
      <c r="AB52" s="79">
        <f t="shared" ca="1" si="14"/>
        <v>0</v>
      </c>
      <c r="AC52" s="79">
        <f t="shared" ca="1" si="14"/>
        <v>0</v>
      </c>
      <c r="AD52" s="79">
        <f t="shared" ca="1" si="14"/>
        <v>0.35</v>
      </c>
      <c r="AE52" s="78">
        <f t="shared" ca="1" si="14"/>
        <v>0.35</v>
      </c>
      <c r="AF52" s="79">
        <f t="shared" ca="1" si="14"/>
        <v>0.35</v>
      </c>
      <c r="AG52" s="238" t="str">
        <f t="shared" si="2"/>
        <v>Regelarbeitszeit (Info)</v>
      </c>
      <c r="AH52" s="217"/>
      <c r="AI52" s="212"/>
      <c r="AJ52" s="213"/>
      <c r="AK52" s="208"/>
      <c r="AL52" s="208"/>
      <c r="AM52" s="208"/>
      <c r="AN52" s="207"/>
      <c r="AO52" s="208"/>
      <c r="AP52" s="208"/>
      <c r="AQ52" s="118"/>
    </row>
    <row r="53" spans="1:43" s="38" customFormat="1" ht="15" customHeight="1" x14ac:dyDescent="0.2">
      <c r="A53" s="211" t="s">
        <v>155</v>
      </c>
      <c r="B53" s="239">
        <f t="shared" ref="B53:AF53" ca="1" si="15">IF(B$12=0,0,ROUND(INDEX(EB.AZSOLLTag100.Bereich,MATCH(INDEX(EB.Monate.Bereich,MONTH(Monat.Tag1)),EB.Monate.Bereich,0))*B$11*IF(WEEKDAY(B$10,2)&gt;5,0,1)*$V$2/100*1440,0)/1440)</f>
        <v>0</v>
      </c>
      <c r="C53" s="239">
        <f t="shared" ca="1" si="15"/>
        <v>0.35</v>
      </c>
      <c r="D53" s="239">
        <f t="shared" ca="1" si="15"/>
        <v>0.35</v>
      </c>
      <c r="E53" s="239">
        <f t="shared" ca="1" si="15"/>
        <v>0.35</v>
      </c>
      <c r="F53" s="239">
        <f t="shared" ca="1" si="15"/>
        <v>0.35</v>
      </c>
      <c r="G53" s="239">
        <f t="shared" ca="1" si="15"/>
        <v>0</v>
      </c>
      <c r="H53" s="239">
        <f t="shared" ca="1" si="15"/>
        <v>0</v>
      </c>
      <c r="I53" s="239">
        <f t="shared" ca="1" si="15"/>
        <v>0.35</v>
      </c>
      <c r="J53" s="239">
        <f t="shared" ca="1" si="15"/>
        <v>0.35</v>
      </c>
      <c r="K53" s="239">
        <f t="shared" ca="1" si="15"/>
        <v>0.35</v>
      </c>
      <c r="L53" s="239">
        <f t="shared" ca="1" si="15"/>
        <v>0.35</v>
      </c>
      <c r="M53" s="239">
        <f t="shared" ca="1" si="15"/>
        <v>0.35</v>
      </c>
      <c r="N53" s="239">
        <f t="shared" ca="1" si="15"/>
        <v>0</v>
      </c>
      <c r="O53" s="239">
        <f t="shared" ca="1" si="15"/>
        <v>0</v>
      </c>
      <c r="P53" s="239">
        <f t="shared" ca="1" si="15"/>
        <v>0.35</v>
      </c>
      <c r="Q53" s="239">
        <f t="shared" ca="1" si="15"/>
        <v>0.35</v>
      </c>
      <c r="R53" s="239">
        <f t="shared" ca="1" si="15"/>
        <v>0.35</v>
      </c>
      <c r="S53" s="239">
        <f t="shared" ca="1" si="15"/>
        <v>0.35</v>
      </c>
      <c r="T53" s="239">
        <f t="shared" ca="1" si="15"/>
        <v>0.35</v>
      </c>
      <c r="U53" s="239">
        <f t="shared" ca="1" si="15"/>
        <v>0</v>
      </c>
      <c r="V53" s="239">
        <f t="shared" ca="1" si="15"/>
        <v>0</v>
      </c>
      <c r="W53" s="239">
        <f t="shared" ca="1" si="15"/>
        <v>0.35</v>
      </c>
      <c r="X53" s="239">
        <f t="shared" ca="1" si="15"/>
        <v>0.35</v>
      </c>
      <c r="Y53" s="239">
        <f t="shared" ca="1" si="15"/>
        <v>0.35</v>
      </c>
      <c r="Z53" s="239">
        <f t="shared" ca="1" si="15"/>
        <v>0.35</v>
      </c>
      <c r="AA53" s="239">
        <f t="shared" ca="1" si="15"/>
        <v>0.35</v>
      </c>
      <c r="AB53" s="239">
        <f t="shared" ca="1" si="15"/>
        <v>0</v>
      </c>
      <c r="AC53" s="239">
        <f t="shared" ca="1" si="15"/>
        <v>0</v>
      </c>
      <c r="AD53" s="239">
        <f t="shared" ca="1" si="15"/>
        <v>0.35</v>
      </c>
      <c r="AE53" s="239">
        <f t="shared" ca="1" si="15"/>
        <v>0.35</v>
      </c>
      <c r="AF53" s="239">
        <f t="shared" ca="1" si="15"/>
        <v>0.35</v>
      </c>
      <c r="AG53" s="204" t="str">
        <f t="shared" si="2"/>
        <v>Arbeitszeit SOLL gem. BG</v>
      </c>
      <c r="AH53" s="217"/>
      <c r="AI53" s="237">
        <f ca="1">SUM(B53:AF53)</f>
        <v>7.6999999999999966</v>
      </c>
      <c r="AJ53" s="213"/>
      <c r="AK53" s="208"/>
      <c r="AL53" s="208"/>
      <c r="AM53" s="208"/>
      <c r="AN53" s="207"/>
      <c r="AO53" s="208"/>
      <c r="AP53" s="208"/>
      <c r="AQ53" s="118"/>
    </row>
    <row r="54" spans="1:43" s="38" customFormat="1" ht="15" hidden="1" customHeight="1" outlineLevel="1" x14ac:dyDescent="0.2">
      <c r="A54" s="211" t="s">
        <v>143</v>
      </c>
      <c r="B54" s="239">
        <f t="shared" ref="B54:AF54" ca="1" si="16">ROUND(INDEX(EB.AZSOLLTag100.Bereich,MATCH(INDEX(EB.Monate.Bereich,MONTH(Monat.Tag1)),EB.Monate.Bereich,0))*B$11*IF(WEEKDAY(B$10,2)&gt;5,0,1)*1440,0)/1440</f>
        <v>0</v>
      </c>
      <c r="C54" s="239">
        <f t="shared" ca="1" si="16"/>
        <v>0.35</v>
      </c>
      <c r="D54" s="240">
        <f t="shared" ca="1" si="16"/>
        <v>0.35</v>
      </c>
      <c r="E54" s="239">
        <f t="shared" ca="1" si="16"/>
        <v>0.35</v>
      </c>
      <c r="F54" s="240">
        <f t="shared" ca="1" si="16"/>
        <v>0.35</v>
      </c>
      <c r="G54" s="240">
        <f t="shared" ca="1" si="16"/>
        <v>0</v>
      </c>
      <c r="H54" s="240">
        <f t="shared" ca="1" si="16"/>
        <v>0</v>
      </c>
      <c r="I54" s="240">
        <f t="shared" ca="1" si="16"/>
        <v>0.35</v>
      </c>
      <c r="J54" s="239">
        <f t="shared" ca="1" si="16"/>
        <v>0.35</v>
      </c>
      <c r="K54" s="240">
        <f t="shared" ca="1" si="16"/>
        <v>0.35</v>
      </c>
      <c r="L54" s="239">
        <f t="shared" ca="1" si="16"/>
        <v>0.35</v>
      </c>
      <c r="M54" s="240">
        <f t="shared" ca="1" si="16"/>
        <v>0.35</v>
      </c>
      <c r="N54" s="240">
        <f t="shared" ca="1" si="16"/>
        <v>0</v>
      </c>
      <c r="O54" s="240">
        <f t="shared" ca="1" si="16"/>
        <v>0</v>
      </c>
      <c r="P54" s="240">
        <f t="shared" ca="1" si="16"/>
        <v>0.35</v>
      </c>
      <c r="Q54" s="239">
        <f t="shared" ca="1" si="16"/>
        <v>0.35</v>
      </c>
      <c r="R54" s="240">
        <f t="shared" ca="1" si="16"/>
        <v>0.35</v>
      </c>
      <c r="S54" s="239">
        <f t="shared" ca="1" si="16"/>
        <v>0.35</v>
      </c>
      <c r="T54" s="239">
        <f t="shared" ca="1" si="16"/>
        <v>0.35</v>
      </c>
      <c r="U54" s="240">
        <f t="shared" ca="1" si="16"/>
        <v>0</v>
      </c>
      <c r="V54" s="240">
        <f t="shared" ca="1" si="16"/>
        <v>0</v>
      </c>
      <c r="W54" s="240">
        <f t="shared" ca="1" si="16"/>
        <v>0.35</v>
      </c>
      <c r="X54" s="239">
        <f t="shared" ca="1" si="16"/>
        <v>0.35</v>
      </c>
      <c r="Y54" s="240">
        <f t="shared" ca="1" si="16"/>
        <v>0.35</v>
      </c>
      <c r="Z54" s="241">
        <f t="shared" ca="1" si="16"/>
        <v>0.35</v>
      </c>
      <c r="AA54" s="240">
        <f t="shared" ca="1" si="16"/>
        <v>0.35</v>
      </c>
      <c r="AB54" s="240">
        <f t="shared" ca="1" si="16"/>
        <v>0</v>
      </c>
      <c r="AC54" s="240">
        <f t="shared" ca="1" si="16"/>
        <v>0</v>
      </c>
      <c r="AD54" s="240">
        <f t="shared" ca="1" si="16"/>
        <v>0.35</v>
      </c>
      <c r="AE54" s="239">
        <f t="shared" ca="1" si="16"/>
        <v>0.35</v>
      </c>
      <c r="AF54" s="240">
        <f t="shared" ca="1" si="16"/>
        <v>0.35</v>
      </c>
      <c r="AG54" s="204" t="str">
        <f t="shared" si="2"/>
        <v>Arbeitszeit SOLL 100%</v>
      </c>
      <c r="AH54" s="217"/>
      <c r="AI54" s="237">
        <f ca="1">SUM(B54:AF54)</f>
        <v>7.6999999999999966</v>
      </c>
      <c r="AJ54" s="213"/>
      <c r="AK54" s="208"/>
      <c r="AL54" s="208"/>
      <c r="AM54" s="208"/>
      <c r="AN54" s="207"/>
      <c r="AO54" s="208"/>
      <c r="AP54" s="208"/>
      <c r="AQ54" s="118"/>
    </row>
    <row r="55" spans="1:43" s="38" customFormat="1" ht="15" customHeight="1" collapsed="1" x14ac:dyDescent="0.2">
      <c r="A55" s="242" t="s">
        <v>145</v>
      </c>
      <c r="B55" s="233">
        <f ca="1">ROUND((B51-B53)*1440,0)/1440</f>
        <v>0</v>
      </c>
      <c r="C55" s="233">
        <f t="shared" ref="C55:AF55" ca="1" si="17">ROUND((C51-C53)*1440,0)/1440</f>
        <v>-0.35</v>
      </c>
      <c r="D55" s="233">
        <f t="shared" ca="1" si="17"/>
        <v>-0.35</v>
      </c>
      <c r="E55" s="235">
        <f t="shared" ca="1" si="17"/>
        <v>-0.35</v>
      </c>
      <c r="F55" s="233">
        <f t="shared" ca="1" si="17"/>
        <v>-0.35</v>
      </c>
      <c r="G55" s="233">
        <f t="shared" ca="1" si="17"/>
        <v>0</v>
      </c>
      <c r="H55" s="233">
        <f t="shared" ca="1" si="17"/>
        <v>0</v>
      </c>
      <c r="I55" s="233">
        <f t="shared" ca="1" si="17"/>
        <v>-0.35</v>
      </c>
      <c r="J55" s="235">
        <f t="shared" ca="1" si="17"/>
        <v>-0.35</v>
      </c>
      <c r="K55" s="233">
        <f t="shared" ca="1" si="17"/>
        <v>-0.35</v>
      </c>
      <c r="L55" s="235">
        <f t="shared" ca="1" si="17"/>
        <v>-0.35</v>
      </c>
      <c r="M55" s="233">
        <f t="shared" ca="1" si="17"/>
        <v>-0.35</v>
      </c>
      <c r="N55" s="233">
        <f t="shared" ca="1" si="17"/>
        <v>0</v>
      </c>
      <c r="O55" s="233">
        <f t="shared" ca="1" si="17"/>
        <v>0</v>
      </c>
      <c r="P55" s="233">
        <f t="shared" ca="1" si="17"/>
        <v>-0.35</v>
      </c>
      <c r="Q55" s="235">
        <f t="shared" ca="1" si="17"/>
        <v>-0.35</v>
      </c>
      <c r="R55" s="233">
        <f t="shared" ca="1" si="17"/>
        <v>-0.35</v>
      </c>
      <c r="S55" s="235">
        <f t="shared" ca="1" si="17"/>
        <v>-0.35</v>
      </c>
      <c r="T55" s="235">
        <f t="shared" ca="1" si="17"/>
        <v>-0.35</v>
      </c>
      <c r="U55" s="233">
        <f t="shared" ca="1" si="17"/>
        <v>0</v>
      </c>
      <c r="V55" s="233">
        <f t="shared" ca="1" si="17"/>
        <v>0</v>
      </c>
      <c r="W55" s="233">
        <f t="shared" ca="1" si="17"/>
        <v>-0.35</v>
      </c>
      <c r="X55" s="235">
        <f t="shared" ca="1" si="17"/>
        <v>-0.35</v>
      </c>
      <c r="Y55" s="233">
        <f t="shared" ca="1" si="17"/>
        <v>-0.35</v>
      </c>
      <c r="Z55" s="236">
        <f t="shared" ca="1" si="17"/>
        <v>-0.35</v>
      </c>
      <c r="AA55" s="233">
        <f t="shared" ca="1" si="17"/>
        <v>-0.35</v>
      </c>
      <c r="AB55" s="233">
        <f t="shared" ca="1" si="17"/>
        <v>0</v>
      </c>
      <c r="AC55" s="233">
        <f t="shared" ca="1" si="17"/>
        <v>0</v>
      </c>
      <c r="AD55" s="233">
        <f t="shared" ca="1" si="17"/>
        <v>-0.35</v>
      </c>
      <c r="AE55" s="235">
        <f t="shared" ca="1" si="17"/>
        <v>-0.35</v>
      </c>
      <c r="AF55" s="233">
        <f t="shared" ca="1" si="17"/>
        <v>-0.35</v>
      </c>
      <c r="AG55" s="204" t="str">
        <f t="shared" si="2"/>
        <v>+/- SOLL/IST täglich</v>
      </c>
      <c r="AH55" s="217"/>
      <c r="AI55" s="237">
        <f ca="1">SUM(B55:AF55)</f>
        <v>-7.6999999999999966</v>
      </c>
      <c r="AJ55" s="213"/>
      <c r="AK55" s="208"/>
      <c r="AL55" s="243">
        <f ca="1">IF(EB.Anwendung&lt;&gt;"",IF(MONTH(Monat.Tag1)=1,0,IF(MONTH(Monat.Tag1)=2,Januar!Monat.Soll_Ist_UeVM,IF(MONTH(Monat.Tag1)=3,Februar!Monat.Soll_Ist_UeVM,IF(MONTH(Monat.Tag1)=4,März!Monat.Soll_Ist_UeVM,IF(MONTH(Monat.Tag1)=5,April!Monat.Soll_Ist_UeVM,IF(MONTH(Monat.Tag1)=6,Mai!Monat.Soll_Ist_UeVM,IF(MONTH(Monat.Tag1)=7,Juni!Monat.Soll_Ist_UeVM,IF(MONTH(Monat.Tag1)=8,Juli!Monat.Soll_Ist_UeVM,IF(MONTH(Monat.Tag1)=9,August!Monat.Soll_Ist_UeVM,IF(MONTH(Monat.Tag1)=10,September!Monat.Soll_Ist_UeVM,IF(MONTH(Monat.Tag1)=11,Oktober!Monat.Soll_Ist_UeVM,IF(MONTH(Monat.Tag1)=12,November!Monat.Soll_Ist_UeVM,"")))))))))))),"")</f>
        <v>-7.349999999999997</v>
      </c>
      <c r="AM55" s="208"/>
      <c r="AN55" s="244">
        <f ca="1">IF(AH57="+",(AI55+AI57),(AI55-AI57))</f>
        <v>-7.6999999999999966</v>
      </c>
      <c r="AO55" s="244">
        <f ca="1">SUM(OFFSET(J.AZSaldo.Total,-12,0,MONTH(Monat.Tag1),1))</f>
        <v>-58.424999999999976</v>
      </c>
      <c r="AP55" s="244">
        <f ca="1">J.AZSaldo.Total</f>
        <v>-88.349999999999966</v>
      </c>
      <c r="AQ55" s="118"/>
    </row>
    <row r="56" spans="1:43" s="38" customFormat="1" ht="15" customHeight="1" x14ac:dyDescent="0.2">
      <c r="A56" s="242" t="s">
        <v>206</v>
      </c>
      <c r="B56" s="245">
        <f ca="1">IF(EB.Anwendung&lt;&gt;"",IF(DAY(B$10)=1,IF(MONTH(Monat.Tag1)=1,ROUND(EB.ÜVMMS*1440,0)/1440,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B$10&gt;TODAY(),EB.UJAustritt=""),0,B55),
IF(AND(B$10&gt;TODAY(),EB.UJAustritt=""),A56,A56+B55)),"")</f>
        <v>0</v>
      </c>
      <c r="C56" s="245">
        <f ca="1">IF(EB.Anwendung&lt;&gt;"",IF(DAY(C$10)=1,IF(MONTH(Monat.Tag1)=1,ROUND(EB.ÜVMMS*1440,0)/1440,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C$10&gt;TODAY(),EB.UJAustritt=""),0,C55),
IF(AND(C$10&gt;TODAY(),EB.UJAustritt=""),B56,B56+C55)),"")</f>
        <v>0</v>
      </c>
      <c r="D56" s="245">
        <f ca="1">IF(EB.Anwendung&lt;&gt;"",IF(DAY(D$10)=1,IF(MONTH(Monat.Tag1)=1,ROUND(EB.ÜVMMS*1440,0)/1440,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D$10&gt;TODAY(),EB.UJAustritt=""),0,D55),
IF(AND(D$10&gt;TODAY(),EB.UJAustritt=""),C56,C56+D55)),"")</f>
        <v>0</v>
      </c>
      <c r="E56" s="245">
        <f ca="1">IF(EB.Anwendung&lt;&gt;"",IF(DAY(E$10)=1,IF(MONTH(Monat.Tag1)=1,ROUND(EB.ÜVMMS*1440,0)/1440,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E$10&gt;TODAY(),EB.UJAustritt=""),0,E55),
IF(AND(E$10&gt;TODAY(),EB.UJAustritt=""),D56,D56+E55)),"")</f>
        <v>0</v>
      </c>
      <c r="F56" s="245">
        <f ca="1">IF(EB.Anwendung&lt;&gt;"",IF(DAY(F$10)=1,IF(MONTH(Monat.Tag1)=1,ROUND(EB.ÜVMMS*1440,0)/1440,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F$10&gt;TODAY(),EB.UJAustritt=""),0,F55),
IF(AND(F$10&gt;TODAY(),EB.UJAustritt=""),E56,E56+F55)),"")</f>
        <v>0</v>
      </c>
      <c r="G56" s="245">
        <f ca="1">IF(EB.Anwendung&lt;&gt;"",IF(DAY(G$10)=1,IF(MONTH(Monat.Tag1)=1,ROUND(EB.ÜVMMS*1440,0)/1440,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G$10&gt;TODAY(),EB.UJAustritt=""),0,G55),
IF(AND(G$10&gt;TODAY(),EB.UJAustritt=""),F56,F56+G55)),"")</f>
        <v>0</v>
      </c>
      <c r="H56" s="245">
        <f ca="1">IF(EB.Anwendung&lt;&gt;"",IF(DAY(H$10)=1,IF(MONTH(Monat.Tag1)=1,ROUND(EB.ÜVMMS*1440,0)/1440,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H$10&gt;TODAY(),EB.UJAustritt=""),0,H55),
IF(AND(H$10&gt;TODAY(),EB.UJAustritt=""),G56,G56+H55)),"")</f>
        <v>0</v>
      </c>
      <c r="I56" s="245">
        <f ca="1">IF(EB.Anwendung&lt;&gt;"",IF(DAY(I$10)=1,IF(MONTH(Monat.Tag1)=1,ROUND(EB.ÜVMMS*1440,0)/1440,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I$10&gt;TODAY(),EB.UJAustritt=""),0,I55),
IF(AND(I$10&gt;TODAY(),EB.UJAustritt=""),H56,H56+I55)),"")</f>
        <v>0</v>
      </c>
      <c r="J56" s="245">
        <f ca="1">IF(EB.Anwendung&lt;&gt;"",IF(DAY(J$10)=1,IF(MONTH(Monat.Tag1)=1,ROUND(EB.ÜVMMS*1440,0)/1440,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J$10&gt;TODAY(),EB.UJAustritt=""),0,J55),
IF(AND(J$10&gt;TODAY(),EB.UJAustritt=""),I56,I56+J55)),"")</f>
        <v>0</v>
      </c>
      <c r="K56" s="245">
        <f ca="1">IF(EB.Anwendung&lt;&gt;"",IF(DAY(K$10)=1,IF(MONTH(Monat.Tag1)=1,ROUND(EB.ÜVMMS*1440,0)/1440,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K$10&gt;TODAY(),EB.UJAustritt=""),0,K55),
IF(AND(K$10&gt;TODAY(),EB.UJAustritt=""),J56,J56+K55)),"")</f>
        <v>0</v>
      </c>
      <c r="L56" s="245">
        <f ca="1">IF(EB.Anwendung&lt;&gt;"",IF(DAY(L$10)=1,IF(MONTH(Monat.Tag1)=1,ROUND(EB.ÜVMMS*1440,0)/1440,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L$10&gt;TODAY(),EB.UJAustritt=""),0,L55),
IF(AND(L$10&gt;TODAY(),EB.UJAustritt=""),K56,K56+L55)),"")</f>
        <v>0</v>
      </c>
      <c r="M56" s="245">
        <f ca="1">IF(EB.Anwendung&lt;&gt;"",IF(DAY(M$10)=1,IF(MONTH(Monat.Tag1)=1,ROUND(EB.ÜVMMS*1440,0)/1440,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M$10&gt;TODAY(),EB.UJAustritt=""),0,M55),
IF(AND(M$10&gt;TODAY(),EB.UJAustritt=""),L56,L56+M55)),"")</f>
        <v>0</v>
      </c>
      <c r="N56" s="245">
        <f ca="1">IF(EB.Anwendung&lt;&gt;"",IF(DAY(N$10)=1,IF(MONTH(Monat.Tag1)=1,ROUND(EB.ÜVMMS*1440,0)/1440,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N$10&gt;TODAY(),EB.UJAustritt=""),0,N55),
IF(AND(N$10&gt;TODAY(),EB.UJAustritt=""),M56,M56+N55)),"")</f>
        <v>0</v>
      </c>
      <c r="O56" s="245">
        <f ca="1">IF(EB.Anwendung&lt;&gt;"",IF(DAY(O$10)=1,IF(MONTH(Monat.Tag1)=1,ROUND(EB.ÜVMMS*1440,0)/1440,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O$10&gt;TODAY(),EB.UJAustritt=""),0,O55),
IF(AND(O$10&gt;TODAY(),EB.UJAustritt=""),N56,N56+O55)),"")</f>
        <v>0</v>
      </c>
      <c r="P56" s="245">
        <f ca="1">IF(EB.Anwendung&lt;&gt;"",IF(DAY(P$10)=1,IF(MONTH(Monat.Tag1)=1,ROUND(EB.ÜVMMS*1440,0)/1440,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P$10&gt;TODAY(),EB.UJAustritt=""),0,P55),
IF(AND(P$10&gt;TODAY(),EB.UJAustritt=""),O56,O56+P55)),"")</f>
        <v>0</v>
      </c>
      <c r="Q56" s="245">
        <f ca="1">IF(EB.Anwendung&lt;&gt;"",IF(DAY(Q$10)=1,IF(MONTH(Monat.Tag1)=1,ROUND(EB.ÜVMMS*1440,0)/1440,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Q$10&gt;TODAY(),EB.UJAustritt=""),0,Q55),
IF(AND(Q$10&gt;TODAY(),EB.UJAustritt=""),P56,P56+Q55)),"")</f>
        <v>0</v>
      </c>
      <c r="R56" s="245">
        <f ca="1">IF(EB.Anwendung&lt;&gt;"",IF(DAY(R$10)=1,IF(MONTH(Monat.Tag1)=1,ROUND(EB.ÜVMMS*1440,0)/1440,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R$10&gt;TODAY(),EB.UJAustritt=""),0,R55),
IF(AND(R$10&gt;TODAY(),EB.UJAustritt=""),Q56,Q56+R55)),"")</f>
        <v>0</v>
      </c>
      <c r="S56" s="245">
        <f ca="1">IF(EB.Anwendung&lt;&gt;"",IF(DAY(S$10)=1,IF(MONTH(Monat.Tag1)=1,ROUND(EB.ÜVMMS*1440,0)/1440,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S$10&gt;TODAY(),EB.UJAustritt=""),0,S55),
IF(AND(S$10&gt;TODAY(),EB.UJAustritt=""),R56,R56+S55)),"")</f>
        <v>0</v>
      </c>
      <c r="T56" s="245">
        <f ca="1">IF(EB.Anwendung&lt;&gt;"",IF(DAY(T$10)=1,IF(MONTH(Monat.Tag1)=1,ROUND(EB.ÜVMMS*1440,0)/1440,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T$10&gt;TODAY(),EB.UJAustritt=""),0,T55),
IF(AND(T$10&gt;TODAY(),EB.UJAustritt=""),S56,S56+T55)),"")</f>
        <v>0</v>
      </c>
      <c r="U56" s="245">
        <f ca="1">IF(EB.Anwendung&lt;&gt;"",IF(DAY(U$10)=1,IF(MONTH(Monat.Tag1)=1,ROUND(EB.ÜVMMS*1440,0)/1440,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U$10&gt;TODAY(),EB.UJAustritt=""),0,U55),
IF(AND(U$10&gt;TODAY(),EB.UJAustritt=""),T56,T56+U55)),"")</f>
        <v>0</v>
      </c>
      <c r="V56" s="245">
        <f ca="1">IF(EB.Anwendung&lt;&gt;"",IF(DAY(V$10)=1,IF(MONTH(Monat.Tag1)=1,ROUND(EB.ÜVMMS*1440,0)/1440,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V$10&gt;TODAY(),EB.UJAustritt=""),0,V55),
IF(AND(V$10&gt;TODAY(),EB.UJAustritt=""),U56,U56+V55)),"")</f>
        <v>0</v>
      </c>
      <c r="W56" s="245">
        <f ca="1">IF(EB.Anwendung&lt;&gt;"",IF(DAY(W$10)=1,IF(MONTH(Monat.Tag1)=1,ROUND(EB.ÜVMMS*1440,0)/1440,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W$10&gt;TODAY(),EB.UJAustritt=""),0,W55),
IF(AND(W$10&gt;TODAY(),EB.UJAustritt=""),V56,V56+W55)),"")</f>
        <v>0</v>
      </c>
      <c r="X56" s="245">
        <f ca="1">IF(EB.Anwendung&lt;&gt;"",IF(DAY(X$10)=1,IF(MONTH(Monat.Tag1)=1,ROUND(EB.ÜVMMS*1440,0)/1440,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X$10&gt;TODAY(),EB.UJAustritt=""),0,X55),
IF(AND(X$10&gt;TODAY(),EB.UJAustritt=""),W56,W56+X55)),"")</f>
        <v>0</v>
      </c>
      <c r="Y56" s="245">
        <f ca="1">IF(EB.Anwendung&lt;&gt;"",IF(DAY(Y$10)=1,IF(MONTH(Monat.Tag1)=1,ROUND(EB.ÜVMMS*1440,0)/1440,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Y$10&gt;TODAY(),EB.UJAustritt=""),0,Y55),
IF(AND(Y$10&gt;TODAY(),EB.UJAustritt=""),X56,X56+Y55)),"")</f>
        <v>0</v>
      </c>
      <c r="Z56" s="245">
        <f ca="1">IF(EB.Anwendung&lt;&gt;"",IF(DAY(Z$10)=1,IF(MONTH(Monat.Tag1)=1,ROUND(EB.ÜVMMS*1440,0)/1440,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Z$10&gt;TODAY(),EB.UJAustritt=""),0,Z55),
IF(AND(Z$10&gt;TODAY(),EB.UJAustritt=""),Y56,Y56+Z55)),"")</f>
        <v>0</v>
      </c>
      <c r="AA56" s="245">
        <f ca="1">IF(EB.Anwendung&lt;&gt;"",IF(DAY(AA$10)=1,IF(MONTH(Monat.Tag1)=1,ROUND(EB.ÜVMMS*1440,0)/1440,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A$10&gt;TODAY(),EB.UJAustritt=""),0,AA55),
IF(AND(AA$10&gt;TODAY(),EB.UJAustritt=""),Z56,Z56+AA55)),"")</f>
        <v>0</v>
      </c>
      <c r="AB56" s="245">
        <f ca="1">IF(EB.Anwendung&lt;&gt;"",IF(DAY(AB$10)=1,IF(MONTH(Monat.Tag1)=1,ROUND(EB.ÜVMMS*1440,0)/1440,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B$10&gt;TODAY(),EB.UJAustritt=""),0,AB55),
IF(AND(AB$10&gt;TODAY(),EB.UJAustritt=""),AA56,AA56+AB55)),"")</f>
        <v>0</v>
      </c>
      <c r="AC56" s="245">
        <f ca="1">IF(EB.Anwendung&lt;&gt;"",IF(DAY(AC$10)=1,IF(MONTH(Monat.Tag1)=1,ROUND(EB.ÜVMMS*1440,0)/1440,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C$10&gt;TODAY(),EB.UJAustritt=""),0,AC55),
IF(AND(AC$10&gt;TODAY(),EB.UJAustritt=""),AB56,AB56+AC55)),"")</f>
        <v>0</v>
      </c>
      <c r="AD56" s="245">
        <f ca="1">IF(EB.Anwendung&lt;&gt;"",IF(DAY(AD$10)=1,IF(MONTH(Monat.Tag1)=1,ROUND(EB.ÜVMMS*1440,0)/1440,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D$10&gt;TODAY(),EB.UJAustritt=""),0,AD55),
IF(AND(AD$10&gt;TODAY(),EB.UJAustritt=""),AC56,AC56+AD55)),"")</f>
        <v>0</v>
      </c>
      <c r="AE56" s="245">
        <f ca="1">IF(EB.Anwendung&lt;&gt;"",IF(DAY(AE$10)=1,IF(MONTH(Monat.Tag1)=1,ROUND(EB.ÜVMMS*1440,0)/1440,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E$10&gt;TODAY(),EB.UJAustritt=""),0,AE55),
IF(AND(AE$10&gt;TODAY(),EB.UJAustritt=""),AD56,AD56+AE55)),"")</f>
        <v>0</v>
      </c>
      <c r="AF56" s="245">
        <f ca="1">IF(EB.Anwendung&lt;&gt;"",IF(DAY(AF$10)=1,IF(MONTH(Monat.Tag1)=1,ROUND(EB.ÜVMMS*1440,0)/1440,
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+IF(AND(AF$10&gt;TODAY(),EB.UJAustritt=""),0,AF55),
IF(AND(AF$10&gt;TODAY(),EB.UJAustritt=""),AE56,AE56+AF55)),"")</f>
        <v>0</v>
      </c>
      <c r="AG56" s="204" t="str">
        <f t="shared" si="2"/>
        <v>aktuelle Mehr-/Minusstunden</v>
      </c>
      <c r="AH56" s="217"/>
      <c r="AI56" s="237">
        <f ca="1">OFFSET(B56,0,DAY(EOMONTH(Monat.Tag1,0))-1,1,1)</f>
        <v>0</v>
      </c>
      <c r="AJ56" s="213"/>
      <c r="AK56" s="208"/>
      <c r="AL56" s="208"/>
      <c r="AM56" s="208"/>
      <c r="AN56" s="207"/>
      <c r="AO56" s="208"/>
      <c r="AP56" s="208"/>
      <c r="AQ56" s="118"/>
    </row>
    <row r="57" spans="1:43" s="42" customFormat="1" ht="15" customHeight="1" outlineLevel="1" x14ac:dyDescent="0.2">
      <c r="A57" s="246"/>
      <c r="B57" s="247"/>
      <c r="C57" s="247"/>
      <c r="D57" s="247"/>
      <c r="E57" s="190"/>
      <c r="F57" s="247"/>
      <c r="G57" s="247"/>
      <c r="H57" s="248"/>
      <c r="I57" s="247"/>
      <c r="J57" s="249"/>
      <c r="K57" s="247"/>
      <c r="L57" s="250"/>
      <c r="M57" s="247"/>
      <c r="N57" s="247"/>
      <c r="O57" s="248"/>
      <c r="P57" s="247"/>
      <c r="Q57" s="190"/>
      <c r="R57" s="247"/>
      <c r="S57" s="250"/>
      <c r="T57" s="247"/>
      <c r="U57" s="247"/>
      <c r="V57" s="248"/>
      <c r="W57" s="247"/>
      <c r="X57" s="251"/>
      <c r="Y57" s="247"/>
      <c r="Z57" s="190"/>
      <c r="AA57" s="247"/>
      <c r="AB57" s="247"/>
      <c r="AC57" s="248"/>
      <c r="AD57" s="247"/>
      <c r="AE57" s="190"/>
      <c r="AF57" s="252"/>
      <c r="AG57" s="211" t="s">
        <v>140</v>
      </c>
      <c r="AH57" s="43" t="s">
        <v>27</v>
      </c>
      <c r="AI57" s="73"/>
      <c r="AJ57" s="253"/>
      <c r="AK57" s="254"/>
      <c r="AL57" s="208"/>
      <c r="AM57" s="208"/>
      <c r="AN57" s="207"/>
      <c r="AO57" s="255"/>
      <c r="AP57" s="255"/>
      <c r="AQ57" s="162"/>
    </row>
    <row r="58" spans="1:43" s="44" customFormat="1" ht="15" customHeight="1" x14ac:dyDescent="0.2">
      <c r="A58" s="256"/>
      <c r="B58" s="250"/>
      <c r="C58" s="250"/>
      <c r="D58" s="250"/>
      <c r="E58" s="190"/>
      <c r="F58" s="250"/>
      <c r="G58" s="250"/>
      <c r="H58" s="250"/>
      <c r="I58" s="250"/>
      <c r="J58" s="190"/>
      <c r="K58" s="250"/>
      <c r="L58" s="250"/>
      <c r="M58" s="250"/>
      <c r="N58" s="250"/>
      <c r="O58" s="250"/>
      <c r="P58" s="250"/>
      <c r="Q58" s="190"/>
      <c r="R58" s="250"/>
      <c r="S58" s="250"/>
      <c r="T58" s="250"/>
      <c r="U58" s="250"/>
      <c r="V58" s="250"/>
      <c r="W58" s="250"/>
      <c r="X58" s="251"/>
      <c r="Y58" s="250"/>
      <c r="Z58" s="190"/>
      <c r="AA58" s="250"/>
      <c r="AB58" s="250"/>
      <c r="AC58" s="250"/>
      <c r="AD58" s="250"/>
      <c r="AE58" s="190"/>
      <c r="AF58" s="257"/>
      <c r="AG58" s="258" t="s">
        <v>230</v>
      </c>
      <c r="AH58" s="217"/>
      <c r="AI58" s="237">
        <f ca="1">IF(AH57="+",(Monat.ZUeZ.Total+AI57),(Monat.ZUeZ.Total-AI57))</f>
        <v>0</v>
      </c>
      <c r="AJ58" s="259"/>
      <c r="AK58" s="260"/>
      <c r="AL58" s="243">
        <f ca="1">IF(EB.Anwendung&lt;&gt;"",IF(MONTH(Monat.Tag1)=1,EB.MMS,IF(MONTH(Monat.Tag1)=2,Januar!Monat.MMS.UeVM,IF(MONTH(Monat.Tag1)=3,Februar!Monat.MMS.UeVM,IF(MONTH(Monat.Tag1)=4,März!Monat.MMS.UeVM,IF(MONTH(Monat.Tag1)=5,April!Monat.MMS.UeVM,IF(MONTH(Monat.Tag1)=6,Mai!Monat.MMS.UeVM,IF(MONTH(Monat.Tag1)=7,Juni!Monat.MMS.UeVM,IF(MONTH(Monat.Tag1)=8,Juli!Monat.MMS.UeVM,IF(MONTH(Monat.Tag1)=9,August!Monat.MMS.UeVM,IF(MONTH(Monat.Tag1)=10,September!Monat.MMS.UeVM,IF(MONTH(Monat.Tag1)=11,Oktober!Monat.MMS.UeVM,IF(MONTH(Monat.Tag1)=12,November!Monat.MMS.UeVM,"")))))))))))),"")</f>
        <v>0</v>
      </c>
      <c r="AM58" s="208"/>
      <c r="AN58" s="244">
        <f ca="1">AI58</f>
        <v>0</v>
      </c>
      <c r="AO58" s="208"/>
      <c r="AP58" s="208"/>
      <c r="AQ58" s="130"/>
    </row>
    <row r="59" spans="1:43" s="38" customFormat="1" ht="11.25" customHeight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1"/>
      <c r="AG59" s="204"/>
      <c r="AH59" s="187"/>
      <c r="AI59" s="212"/>
      <c r="AJ59" s="213"/>
      <c r="AK59" s="208"/>
      <c r="AL59" s="208"/>
      <c r="AM59" s="208"/>
      <c r="AN59" s="207"/>
      <c r="AO59" s="208"/>
      <c r="AP59" s="208"/>
      <c r="AQ59" s="118"/>
    </row>
    <row r="60" spans="1:43" s="38" customFormat="1" ht="15" customHeight="1" x14ac:dyDescent="0.2">
      <c r="A60" s="211" t="s">
        <v>50</v>
      </c>
      <c r="B60" s="261" t="str">
        <f ca="1">IF(EB.Wochenarbeitszeit=50/24,IF(T.50_Vetsuisse,IF(WEEKDAY(B$10,2)=7,MAX(0,SUM(OFFSET(B51,0,-MIN(6,DAY(B$10)-1),1,MIN(7,DAY(B$10))))+IF(AND(MONTH(Monat.Tag1)&lt;&gt;1,DAY(B$10)&lt;7),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-1/24*50),""),""),IF(B45=0,"",B45))</f>
        <v/>
      </c>
      <c r="C60" s="261" t="str">
        <f ca="1">IF(EB.Wochenarbeitszeit=50/24,IF(T.50_Vetsuisse,IF(WEEKDAY(C$10,2)=7,MAX(0,SUM(OFFSET(C51,0,-MIN(6,DAY(C$10)-1),1,MIN(7,DAY(C$10))))+IF(AND(MONTH(Monat.Tag1)&lt;&gt;1,DAY(C$10)&lt;7),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-1/24*50),""),""),IF(C45=0,"",C45))</f>
        <v/>
      </c>
      <c r="D60" s="261" t="str">
        <f ca="1">IF(EB.Wochenarbeitszeit=50/24,IF(T.50_Vetsuisse,IF(WEEKDAY(D$10,2)=7,MAX(0,SUM(OFFSET(D51,0,-MIN(6,DAY(D$10)-1),1,MIN(7,DAY(D$10))))+IF(AND(MONTH(Monat.Tag1)&lt;&gt;1,DAY(D$10)&lt;7),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-1/24*50),""),""),IF(D45=0,"",D45))</f>
        <v/>
      </c>
      <c r="E60" s="262" t="str">
        <f ca="1">IF(EB.Wochenarbeitszeit=50/24,IF(T.50_Vetsuisse,IF(WEEKDAY(E$10,2)=7,MAX(0,SUM(OFFSET(E51,0,-MIN(6,DAY(E$10)-1),1,MIN(7,DAY(E$10))))+IF(AND(MONTH(Monat.Tag1)&lt;&gt;1,DAY(E$10)&lt;7),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-1/24*50),""),""),IF(E45=0,"",E45))</f>
        <v/>
      </c>
      <c r="F60" s="261" t="str">
        <f ca="1">IF(EB.Wochenarbeitszeit=50/24,IF(T.50_Vetsuisse,IF(WEEKDAY(F$10,2)=7,MAX(0,SUM(OFFSET(F51,0,-MIN(6,DAY(F$10)-1),1,MIN(7,DAY(F$10))))+IF(AND(MONTH(Monat.Tag1)&lt;&gt;1,DAY(F$10)&lt;7),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-1/24*50),""),""),IF(F45=0,"",F45))</f>
        <v/>
      </c>
      <c r="G60" s="261" t="str">
        <f ca="1">IF(EB.Wochenarbeitszeit=50/24,IF(T.50_Vetsuisse,IF(WEEKDAY(G$10,2)=7,MAX(0,SUM(OFFSET(G51,0,-MIN(6,DAY(G$10)-1),1,MIN(7,DAY(G$10))))+IF(AND(MONTH(Monat.Tag1)&lt;&gt;1,DAY(G$10)&lt;7),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-1/24*50),""),""),IF(G45=0,"",G45))</f>
        <v/>
      </c>
      <c r="H60" s="261" t="str">
        <f ca="1">IF(EB.Wochenarbeitszeit=50/24,IF(T.50_Vetsuisse,IF(WEEKDAY(H$10,2)=7,MAX(0,SUM(OFFSET(H51,0,-MIN(6,DAY(H$10)-1),1,MIN(7,DAY(H$10))))+IF(AND(MONTH(Monat.Tag1)&lt;&gt;1,DAY(H$10)&lt;7),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-1/24*50),""),""),IF(H45=0,"",H45))</f>
        <v/>
      </c>
      <c r="I60" s="261" t="str">
        <f ca="1">IF(EB.Wochenarbeitszeit=50/24,IF(T.50_Vetsuisse,IF(WEEKDAY(I$10,2)=7,MAX(0,SUM(OFFSET(I51,0,-MIN(6,DAY(I$10)-1),1,MIN(7,DAY(I$10))))+IF(AND(MONTH(Monat.Tag1)&lt;&gt;1,DAY(I$10)&lt;7),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-1/24*50),""),""),IF(I45=0,"",I45))</f>
        <v/>
      </c>
      <c r="J60" s="262" t="str">
        <f ca="1">IF(EB.Wochenarbeitszeit=50/24,IF(T.50_Vetsuisse,IF(WEEKDAY(J$10,2)=7,MAX(0,SUM(OFFSET(J51,0,-MIN(6,DAY(J$10)-1),1,MIN(7,DAY(J$10))))+IF(AND(MONTH(Monat.Tag1)&lt;&gt;1,DAY(J$10)&lt;7),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-1/24*50),""),""),IF(J45=0,"",J45))</f>
        <v/>
      </c>
      <c r="K60" s="261" t="str">
        <f ca="1">IF(EB.Wochenarbeitszeit=50/24,IF(T.50_Vetsuisse,IF(WEEKDAY(K$10,2)=7,MAX(0,SUM(OFFSET(K51,0,-MIN(6,DAY(K$10)-1),1,MIN(7,DAY(K$10))))+IF(AND(MONTH(Monat.Tag1)&lt;&gt;1,DAY(K$10)&lt;7),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-1/24*50),""),""),IF(K45=0,"",K45))</f>
        <v/>
      </c>
      <c r="L60" s="262" t="str">
        <f ca="1">IF(EB.Wochenarbeitszeit=50/24,IF(T.50_Vetsuisse,IF(WEEKDAY(L$10,2)=7,MAX(0,SUM(OFFSET(L51,0,-MIN(6,DAY(L$10)-1),1,MIN(7,DAY(L$10))))+IF(AND(MONTH(Monat.Tag1)&lt;&gt;1,DAY(L$10)&lt;7),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-1/24*50),""),""),IF(L45=0,"",L45))</f>
        <v/>
      </c>
      <c r="M60" s="261" t="str">
        <f ca="1">IF(EB.Wochenarbeitszeit=50/24,IF(T.50_Vetsuisse,IF(WEEKDAY(M$10,2)=7,MAX(0,SUM(OFFSET(M51,0,-MIN(6,DAY(M$10)-1),1,MIN(7,DAY(M$10))))+IF(AND(MONTH(Monat.Tag1)&lt;&gt;1,DAY(M$10)&lt;7),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-1/24*50),""),""),IF(M45=0,"",M45))</f>
        <v/>
      </c>
      <c r="N60" s="261" t="str">
        <f ca="1">IF(EB.Wochenarbeitszeit=50/24,IF(T.50_Vetsuisse,IF(WEEKDAY(N$10,2)=7,MAX(0,SUM(OFFSET(N51,0,-MIN(6,DAY(N$10)-1),1,MIN(7,DAY(N$10))))+IF(AND(MONTH(Monat.Tag1)&lt;&gt;1,DAY(N$10)&lt;7),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-1/24*50),""),""),IF(N45=0,"",N45))</f>
        <v/>
      </c>
      <c r="O60" s="261" t="str">
        <f ca="1">IF(EB.Wochenarbeitszeit=50/24,IF(T.50_Vetsuisse,IF(WEEKDAY(O$10,2)=7,MAX(0,SUM(OFFSET(O51,0,-MIN(6,DAY(O$10)-1),1,MIN(7,DAY(O$10))))+IF(AND(MONTH(Monat.Tag1)&lt;&gt;1,DAY(O$10)&lt;7),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-1/24*50),""),""),IF(O45=0,"",O45))</f>
        <v/>
      </c>
      <c r="P60" s="261" t="str">
        <f ca="1">IF(EB.Wochenarbeitszeit=50/24,IF(T.50_Vetsuisse,IF(WEEKDAY(P$10,2)=7,MAX(0,SUM(OFFSET(P51,0,-MIN(6,DAY(P$10)-1),1,MIN(7,DAY(P$10))))+IF(AND(MONTH(Monat.Tag1)&lt;&gt;1,DAY(P$10)&lt;7),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-1/24*50),""),""),IF(P45=0,"",P45))</f>
        <v/>
      </c>
      <c r="Q60" s="262" t="str">
        <f ca="1">IF(EB.Wochenarbeitszeit=50/24,IF(T.50_Vetsuisse,IF(WEEKDAY(Q$10,2)=7,MAX(0,SUM(OFFSET(Q51,0,-MIN(6,DAY(Q$10)-1),1,MIN(7,DAY(Q$10))))+IF(AND(MONTH(Monat.Tag1)&lt;&gt;1,DAY(Q$10)&lt;7),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-1/24*50),""),""),IF(Q45=0,"",Q45))</f>
        <v/>
      </c>
      <c r="R60" s="261" t="str">
        <f ca="1">IF(EB.Wochenarbeitszeit=50/24,IF(T.50_Vetsuisse,IF(WEEKDAY(R$10,2)=7,MAX(0,SUM(OFFSET(R51,0,-MIN(6,DAY(R$10)-1),1,MIN(7,DAY(R$10))))+IF(AND(MONTH(Monat.Tag1)&lt;&gt;1,DAY(R$10)&lt;7),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-1/24*50),""),""),IF(R45=0,"",R45))</f>
        <v/>
      </c>
      <c r="S60" s="262" t="str">
        <f ca="1">IF(EB.Wochenarbeitszeit=50/24,IF(T.50_Vetsuisse,IF(WEEKDAY(S$10,2)=7,MAX(0,SUM(OFFSET(S51,0,-MIN(6,DAY(S$10)-1),1,MIN(7,DAY(S$10))))+IF(AND(MONTH(Monat.Tag1)&lt;&gt;1,DAY(S$10)&lt;7),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-1/24*50),""),""),IF(S45=0,"",S45))</f>
        <v/>
      </c>
      <c r="T60" s="262" t="str">
        <f ca="1">IF(EB.Wochenarbeitszeit=50/24,IF(T.50_Vetsuisse,IF(WEEKDAY(T$10,2)=7,MAX(0,SUM(OFFSET(T51,0,-MIN(6,DAY(T$10)-1),1,MIN(7,DAY(T$10))))+IF(AND(MONTH(Monat.Tag1)&lt;&gt;1,DAY(T$10)&lt;7),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-1/24*50),""),""),IF(T45=0,"",T45))</f>
        <v/>
      </c>
      <c r="U60" s="261" t="str">
        <f ca="1">IF(EB.Wochenarbeitszeit=50/24,IF(T.50_Vetsuisse,IF(WEEKDAY(U$10,2)=7,MAX(0,SUM(OFFSET(U51,0,-MIN(6,DAY(U$10)-1),1,MIN(7,DAY(U$10))))+IF(AND(MONTH(Monat.Tag1)&lt;&gt;1,DAY(U$10)&lt;7),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-1/24*50),""),""),IF(U45=0,"",U45))</f>
        <v/>
      </c>
      <c r="V60" s="261" t="str">
        <f ca="1">IF(EB.Wochenarbeitszeit=50/24,IF(T.50_Vetsuisse,IF(WEEKDAY(V$10,2)=7,MAX(0,SUM(OFFSET(V51,0,-MIN(6,DAY(V$10)-1),1,MIN(7,DAY(V$10))))+IF(AND(MONTH(Monat.Tag1)&lt;&gt;1,DAY(V$10)&lt;7),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-1/24*50),""),""),IF(V45=0,"",V45))</f>
        <v/>
      </c>
      <c r="W60" s="261" t="str">
        <f ca="1">IF(EB.Wochenarbeitszeit=50/24,IF(T.50_Vetsuisse,IF(WEEKDAY(W$10,2)=7,MAX(0,SUM(OFFSET(W51,0,-MIN(6,DAY(W$10)-1),1,MIN(7,DAY(W$10))))+IF(AND(MONTH(Monat.Tag1)&lt;&gt;1,DAY(W$10)&lt;7),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-1/24*50),""),""),IF(W45=0,"",W45))</f>
        <v/>
      </c>
      <c r="X60" s="262" t="str">
        <f ca="1">IF(EB.Wochenarbeitszeit=50/24,IF(T.50_Vetsuisse,IF(WEEKDAY(X$10,2)=7,MAX(0,SUM(OFFSET(X51,0,-MIN(6,DAY(X$10)-1),1,MIN(7,DAY(X$10))))+IF(AND(MONTH(Monat.Tag1)&lt;&gt;1,DAY(X$10)&lt;7),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-1/24*50),""),""),IF(X45=0,"",X45))</f>
        <v/>
      </c>
      <c r="Y60" s="261" t="str">
        <f ca="1">IF(EB.Wochenarbeitszeit=50/24,IF(T.50_Vetsuisse,IF(WEEKDAY(Y$10,2)=7,MAX(0,SUM(OFFSET(Y51,0,-MIN(6,DAY(Y$10)-1),1,MIN(7,DAY(Y$10))))+IF(AND(MONTH(Monat.Tag1)&lt;&gt;1,DAY(Y$10)&lt;7),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-1/24*50),""),""),IF(Y45=0,"",Y45))</f>
        <v/>
      </c>
      <c r="Z60" s="263" t="str">
        <f ca="1">IF(EB.Wochenarbeitszeit=50/24,IF(T.50_Vetsuisse,IF(WEEKDAY(Z$10,2)=7,MAX(0,SUM(OFFSET(Z51,0,-MIN(6,DAY(Z$10)-1),1,MIN(7,DAY(Z$10))))+IF(AND(MONTH(Monat.Tag1)&lt;&gt;1,DAY(Z$10)&lt;7),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-1/24*50),""),""),IF(Z45=0,"",Z45))</f>
        <v/>
      </c>
      <c r="AA60" s="261" t="str">
        <f ca="1">IF(EB.Wochenarbeitszeit=50/24,IF(T.50_Vetsuisse,IF(WEEKDAY(AA$10,2)=7,MAX(0,SUM(OFFSET(AA51,0,-MIN(6,DAY(AA$10)-1),1,MIN(7,DAY(AA$10))))+IF(AND(MONTH(Monat.Tag1)&lt;&gt;1,DAY(AA$10)&lt;7),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-1/24*50),""),""),IF(AA45=0,"",AA45))</f>
        <v/>
      </c>
      <c r="AB60" s="261" t="str">
        <f ca="1">IF(EB.Wochenarbeitszeit=50/24,IF(T.50_Vetsuisse,IF(WEEKDAY(AB$10,2)=7,MAX(0,SUM(OFFSET(AB51,0,-MIN(6,DAY(AB$10)-1),1,MIN(7,DAY(AB$10))))+IF(AND(MONTH(Monat.Tag1)&lt;&gt;1,DAY(AB$10)&lt;7),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-1/24*50),""),""),IF(AB45=0,"",AB45))</f>
        <v/>
      </c>
      <c r="AC60" s="261" t="str">
        <f ca="1">IF(EB.Wochenarbeitszeit=50/24,IF(T.50_Vetsuisse,IF(WEEKDAY(AC$10,2)=7,MAX(0,SUM(OFFSET(AC51,0,-MIN(6,DAY(AC$10)-1),1,MIN(7,DAY(AC$10))))+IF(AND(MONTH(Monat.Tag1)&lt;&gt;1,DAY(AC$10)&lt;7),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-1/24*50),""),""),IF(AC45=0,"",AC45))</f>
        <v/>
      </c>
      <c r="AD60" s="261" t="str">
        <f ca="1">IF(EB.Wochenarbeitszeit=50/24,IF(T.50_Vetsuisse,IF(WEEKDAY(AD$10,2)=7,MAX(0,SUM(OFFSET(AD51,0,-MIN(6,DAY(AD$10)-1),1,MIN(7,DAY(AD$10))))+IF(AND(MONTH(Monat.Tag1)&lt;&gt;1,DAY(AD$10)&lt;7),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-1/24*50),""),""),IF(AD45=0,"",AD45))</f>
        <v/>
      </c>
      <c r="AE60" s="262" t="str">
        <f ca="1">IF(EB.Wochenarbeitszeit=50/24,IF(T.50_Vetsuisse,IF(WEEKDAY(AE$10,2)=7,MAX(0,SUM(OFFSET(AE51,0,-MIN(6,DAY(AE$10)-1),1,MIN(7,DAY(AE$10))))+IF(AND(MONTH(Monat.Tag1)&lt;&gt;1,DAY(AE$10)&lt;7),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-1/24*50),""),""),IF(AE45=0,"",AE45))</f>
        <v/>
      </c>
      <c r="AF60" s="261" t="str">
        <f ca="1">IF(EB.Wochenarbeitszeit=50/24,IF(T.50_Vetsuisse,IF(WEEKDAY(AF$10,2)=7,MAX(0,SUM(OFFSET(AF51,0,-MIN(6,DAY(AF$10)-1),1,MIN(7,DAY(AF$10))))+IF(AND(MONTH(Monat.Tag1)&lt;&gt;1,DAY(AF$10)&lt;7),
IF(MONTH(Monat.Tag1)=2,Januar!Monat.AZIstWRestUeVM,IF(MONTH(Monat.Tag1)=3,Februar!Monat.AZIstWRestUeVM,IF(MONTH(Monat.Tag1)=4,März!Monat.AZIstWRestUeVM,IF(MONTH(Monat.Tag1)=5,April!Monat.AZIstWRestUeVM,IF(MONTH(Monat.Tag1)=6,Mai!Monat.AZIstWRestUeVM,IF(MONTH(Monat.Tag1)=7,Juni!Monat.AZIstWRestUeVM,IF(MONTH(Monat.Tag1)=8,Juli!Monat.AZIstWRestUeVM,IF(MONTH(Monat.Tag1)=9,August!Monat.AZIstWRestUeVM,IF(MONTH(Monat.Tag1)=10,September!Monat.AZIstWRestUeVM,IF(MONTH(Monat.Tag1)=11,Oktober!Monat.AZIstWRestUeVM,IF(MONTH(Monat.Tag1)=12,November!Monat.AZIstWRestUeVM,""))))))))))),0)
-1/24*50),""),""),IF(AF45=0,"",AF45))</f>
        <v/>
      </c>
      <c r="AG60" s="204" t="str">
        <f>A60</f>
        <v>Angeordnete ÜZ</v>
      </c>
      <c r="AH60" s="217"/>
      <c r="AI60" s="237">
        <f ca="1">SUM(B60:AF60)</f>
        <v>0</v>
      </c>
      <c r="AJ60" s="213"/>
      <c r="AK60" s="208"/>
      <c r="AL60" s="243">
        <f ca="1">IF(EB.Anwendung&lt;&gt;"",IF(MONTH(Monat.Tag1)=1,0,IF(MONTH(Monat.Tag1)=2,Januar!Monat.AnUeZUeVM,IF(MONTH(Monat.Tag1)=3,Februar!Monat.AnUeZUeVM,IF(MONTH(Monat.Tag1)=4,März!Monat.AnUeZUeVM,IF(MONTH(Monat.Tag1)=5,April!Monat.AnUeZUeVM,IF(MONTH(Monat.Tag1)=6,Mai!Monat.AnUeZUeVM,IF(MONTH(Monat.Tag1)=7,Juni!Monat.AnUeZUeVM,IF(MONTH(Monat.Tag1)=8,Juli!Monat.AnUeZUeVM,IF(MONTH(Monat.Tag1)=9,August!Monat.AnUeZUeVM,IF(MONTH(Monat.Tag1)=10,September!Monat.AnUeZUeVM,IF(MONTH(Monat.Tag1)=11,Oktober!Monat.AnUeZUeVM,IF(MONTH(Monat.Tag1)=12,November!Monat.AnUeZUeVM,"")))))))))))),"")</f>
        <v>0</v>
      </c>
      <c r="AM60" s="208"/>
      <c r="AN60" s="244">
        <f ca="1">AI60+AL60</f>
        <v>0</v>
      </c>
      <c r="AO60" s="244">
        <f ca="1">SUM(OFFSET(Jahr.AngÜZ,-12,0,MONTH(Monat.Tag1),1))</f>
        <v>0</v>
      </c>
      <c r="AP60" s="244">
        <f ca="1">Jahr.AngÜZ</f>
        <v>0</v>
      </c>
      <c r="AQ60" s="118"/>
    </row>
    <row r="61" spans="1:43" s="38" customFormat="1" ht="15" customHeight="1" x14ac:dyDescent="0.2">
      <c r="A61" s="211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9"/>
      <c r="AA61" s="27"/>
      <c r="AB61" s="27"/>
      <c r="AC61" s="27"/>
      <c r="AD61" s="27"/>
      <c r="AE61" s="27"/>
      <c r="AF61" s="27"/>
      <c r="AG61" s="204" t="str">
        <f>A61</f>
        <v>Kompensation ÜZ</v>
      </c>
      <c r="AH61" s="217"/>
      <c r="AI61" s="237">
        <f>SUM(B61:AF61)</f>
        <v>0</v>
      </c>
      <c r="AJ61" s="213"/>
      <c r="AK61" s="208"/>
      <c r="AL61" s="208"/>
      <c r="AM61" s="208"/>
      <c r="AN61" s="207"/>
      <c r="AO61" s="208"/>
      <c r="AP61" s="208"/>
      <c r="AQ61" s="118"/>
    </row>
    <row r="62" spans="1:43" s="42" customFormat="1" ht="15" hidden="1" customHeight="1" outlineLevel="1" x14ac:dyDescent="0.2">
      <c r="A62" s="246"/>
      <c r="B62" s="251"/>
      <c r="C62" s="251"/>
      <c r="D62" s="251"/>
      <c r="E62" s="190"/>
      <c r="F62" s="251"/>
      <c r="G62" s="251"/>
      <c r="H62" s="251"/>
      <c r="I62" s="251"/>
      <c r="J62" s="249"/>
      <c r="K62" s="251"/>
      <c r="L62" s="250"/>
      <c r="M62" s="251"/>
      <c r="N62" s="251"/>
      <c r="O62" s="251"/>
      <c r="P62" s="251"/>
      <c r="Q62" s="190"/>
      <c r="R62" s="251"/>
      <c r="S62" s="250"/>
      <c r="T62" s="251"/>
      <c r="U62" s="251"/>
      <c r="V62" s="251"/>
      <c r="W62" s="251"/>
      <c r="X62" s="251"/>
      <c r="Y62" s="251"/>
      <c r="Z62" s="190"/>
      <c r="AA62" s="251"/>
      <c r="AB62" s="251"/>
      <c r="AC62" s="251"/>
      <c r="AD62" s="251"/>
      <c r="AE62" s="190"/>
      <c r="AF62" s="264"/>
      <c r="AG62" s="265" t="s">
        <v>231</v>
      </c>
      <c r="AH62" s="266"/>
      <c r="AI62" s="237">
        <f ca="1">Monat.AnUeZ.Total-Monat.KomUeZ.Total</f>
        <v>0</v>
      </c>
      <c r="AJ62" s="213"/>
      <c r="AK62" s="255"/>
      <c r="AL62" s="255"/>
      <c r="AM62" s="208"/>
      <c r="AN62" s="255"/>
      <c r="AO62" s="255"/>
      <c r="AP62" s="255"/>
      <c r="AQ62" s="162"/>
    </row>
    <row r="63" spans="1:43" s="38" customFormat="1" ht="15" customHeight="1" collapsed="1" x14ac:dyDescent="0.2">
      <c r="A63" s="21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50"/>
      <c r="M63" s="190"/>
      <c r="N63" s="190"/>
      <c r="O63" s="190"/>
      <c r="P63" s="190"/>
      <c r="Q63" s="190"/>
      <c r="R63" s="190"/>
      <c r="S63" s="250"/>
      <c r="T63" s="190"/>
      <c r="U63" s="190"/>
      <c r="V63" s="190"/>
      <c r="W63" s="190"/>
      <c r="X63" s="251"/>
      <c r="Y63" s="190"/>
      <c r="Z63" s="190"/>
      <c r="AA63" s="190"/>
      <c r="AB63" s="190"/>
      <c r="AC63" s="190"/>
      <c r="AD63" s="190"/>
      <c r="AE63" s="190"/>
      <c r="AF63" s="267"/>
      <c r="AG63" s="211" t="s">
        <v>47</v>
      </c>
      <c r="AH63" s="217"/>
      <c r="AI63" s="237">
        <f ca="1">IF(T.50_Vetsuisse,0,IF(AND(AI62&gt;0,Monat.ÜZZSBerechtigt=INDEX(T.JaNein.Bereich,1,1)),ROUND(AI62*0.25*1440,0)/1440,0))</f>
        <v>0</v>
      </c>
      <c r="AJ63" s="213"/>
      <c r="AK63" s="208"/>
      <c r="AL63" s="255"/>
      <c r="AM63" s="208"/>
      <c r="AN63" s="255"/>
      <c r="AO63" s="255"/>
      <c r="AP63" s="255"/>
      <c r="AQ63" s="118"/>
    </row>
    <row r="64" spans="1:43" s="38" customFormat="1" ht="15" hidden="1" customHeight="1" outlineLevel="1" x14ac:dyDescent="0.2">
      <c r="A64" s="21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250"/>
      <c r="M64" s="190"/>
      <c r="N64" s="190"/>
      <c r="O64" s="190"/>
      <c r="P64" s="190"/>
      <c r="Q64" s="190"/>
      <c r="R64" s="190"/>
      <c r="S64" s="250"/>
      <c r="T64" s="190"/>
      <c r="U64" s="190"/>
      <c r="V64" s="190"/>
      <c r="W64" s="190"/>
      <c r="X64" s="251"/>
      <c r="Y64" s="190"/>
      <c r="Z64" s="190"/>
      <c r="AA64" s="190"/>
      <c r="AB64" s="190"/>
      <c r="AC64" s="190"/>
      <c r="AD64" s="190"/>
      <c r="AE64" s="190"/>
      <c r="AF64" s="267"/>
      <c r="AG64" s="211" t="s">
        <v>248</v>
      </c>
      <c r="AH64" s="45" t="s">
        <v>27</v>
      </c>
      <c r="AI64" s="46"/>
      <c r="AJ64" s="268"/>
      <c r="AK64" s="208"/>
      <c r="AL64" s="255"/>
      <c r="AM64" s="208"/>
      <c r="AN64" s="255"/>
      <c r="AO64" s="255"/>
      <c r="AP64" s="255"/>
      <c r="AQ64" s="118"/>
    </row>
    <row r="65" spans="1:43" s="42" customFormat="1" ht="15" customHeight="1" collapsed="1" x14ac:dyDescent="0.2">
      <c r="A65" s="246"/>
      <c r="B65" s="251"/>
      <c r="C65" s="251"/>
      <c r="D65" s="251"/>
      <c r="E65" s="190"/>
      <c r="F65" s="251"/>
      <c r="G65" s="251"/>
      <c r="H65" s="251"/>
      <c r="I65" s="251"/>
      <c r="J65" s="190"/>
      <c r="K65" s="251"/>
      <c r="L65" s="250"/>
      <c r="M65" s="251"/>
      <c r="N65" s="251"/>
      <c r="O65" s="251"/>
      <c r="P65" s="251"/>
      <c r="Q65" s="190"/>
      <c r="R65" s="251"/>
      <c r="S65" s="250"/>
      <c r="T65" s="251"/>
      <c r="U65" s="251"/>
      <c r="V65" s="251"/>
      <c r="W65" s="251"/>
      <c r="X65" s="251"/>
      <c r="Y65" s="251"/>
      <c r="Z65" s="190"/>
      <c r="AA65" s="251"/>
      <c r="AB65" s="251"/>
      <c r="AC65" s="251"/>
      <c r="AD65" s="251"/>
      <c r="AE65" s="190"/>
      <c r="AF65" s="264"/>
      <c r="AG65" s="258" t="s">
        <v>72</v>
      </c>
      <c r="AH65" s="266"/>
      <c r="AI65" s="237">
        <f ca="1">IF(AH64="+",(AI62+AI63+AI64),(AI62+AI63-AI64))</f>
        <v>0</v>
      </c>
      <c r="AJ65" s="259"/>
      <c r="AK65" s="269"/>
      <c r="AL65" s="243">
        <f ca="1">IF(EB.Anwendung&lt;&gt;"",IF(MONTH(Monat.Tag1)=1,EB.UeZ,IF(MONTH(Monat.Tag1)=2,Januar!Monat.UeZUeVM,IF(MONTH(Monat.Tag1)=3,Februar!Monat.UeZUeVM,IF(MONTH(Monat.Tag1)=4,März!Monat.UeZUeVM,IF(MONTH(Monat.Tag1)=5,April!Monat.UeZUeVM,IF(MONTH(Monat.Tag1)=6,Mai!Monat.UeZUeVM,IF(MONTH(Monat.Tag1)=7,Juni!Monat.UeZUeVM,IF(MONTH(Monat.Tag1)=8,Juli!Monat.UeZUeVM,IF(MONTH(Monat.Tag1)=9,August!Monat.UeZUeVM,IF(MONTH(Monat.Tag1)=10,September!Monat.UeZUeVM,IF(MONTH(Monat.Tag1)=11,Oktober!Monat.UeZUeVM,IF(MONTH(Monat.Tag1)=12,November!Monat.UeZUeVM,"")))))))))))),"")</f>
        <v>0</v>
      </c>
      <c r="AM65" s="208"/>
      <c r="AN65" s="244">
        <f ca="1">AI65+AL65</f>
        <v>0</v>
      </c>
      <c r="AO65" s="244">
        <f ca="1">SUM(OFFSET(J.UeZ.Total,-12,0,MONTH(Monat.Tag1),1))</f>
        <v>0</v>
      </c>
      <c r="AP65" s="244">
        <f ca="1">J.UeZ.Total</f>
        <v>0</v>
      </c>
      <c r="AQ65" s="162"/>
    </row>
    <row r="66" spans="1:43" s="38" customFormat="1" ht="11.25" customHeight="1" outlineLevel="1" x14ac:dyDescent="0.2">
      <c r="A66" s="219"/>
      <c r="B66" s="352">
        <f ca="1">IF(EB.Anwendung&lt;&gt;"",
IF(AND(B$10&gt;TODAY(),$W$7&gt;0,B52&lt;=0),0,
IF(AND(B$10&gt;TODAY(),$W$7&lt;=0,B53&lt;=0),0,
IF(B85&lt;=0,1,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))),"")</f>
        <v>0</v>
      </c>
      <c r="C66" s="352">
        <f ca="1">IF(EB.Anwendung&lt;&gt;"",
IF(AND(C$10&gt;TODAY(),$W$7&gt;0,C52&lt;=0),0,
IF(AND(C$10&gt;TODAY(),$W$7&lt;=0,C53&lt;=0),0,
IF(C85&lt;=0,1,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))),"")</f>
        <v>1</v>
      </c>
      <c r="D66" s="352">
        <f ca="1">IF(EB.Anwendung&lt;&gt;"",
IF(AND(D$10&gt;TODAY(),$W$7&gt;0,D52&lt;=0),0,
IF(AND(D$10&gt;TODAY(),$W$7&lt;=0,D53&lt;=0),0,
IF(D85&lt;=0,1,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))),"")</f>
        <v>1</v>
      </c>
      <c r="E66" s="352">
        <f ca="1">IF(EB.Anwendung&lt;&gt;"",
IF(AND(E$10&gt;TODAY(),$W$7&gt;0,E52&lt;=0),0,
IF(AND(E$10&gt;TODAY(),$W$7&lt;=0,E53&lt;=0),0,
IF(E85&lt;=0,1,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))),"")</f>
        <v>1</v>
      </c>
      <c r="F66" s="352">
        <f ca="1">IF(EB.Anwendung&lt;&gt;"",
IF(AND(F$10&gt;TODAY(),$W$7&gt;0,F52&lt;=0),0,
IF(AND(F$10&gt;TODAY(),$W$7&lt;=0,F53&lt;=0),0,
IF(F85&lt;=0,1,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))),"")</f>
        <v>1</v>
      </c>
      <c r="G66" s="352">
        <f ca="1">IF(EB.Anwendung&lt;&gt;"",
IF(AND(G$10&gt;TODAY(),$W$7&gt;0,G52&lt;=0),0,
IF(AND(G$10&gt;TODAY(),$W$7&lt;=0,G53&lt;=0),0,
IF(G85&lt;=0,1,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))),"")</f>
        <v>0</v>
      </c>
      <c r="H66" s="352">
        <f ca="1">IF(EB.Anwendung&lt;&gt;"",
IF(AND(H$10&gt;TODAY(),$W$7&gt;0,H52&lt;=0),0,
IF(AND(H$10&gt;TODAY(),$W$7&lt;=0,H53&lt;=0),0,
IF(H85&lt;=0,1,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))),"")</f>
        <v>0</v>
      </c>
      <c r="I66" s="352">
        <f ca="1">IF(EB.Anwendung&lt;&gt;"",
IF(AND(I$10&gt;TODAY(),$W$7&gt;0,I52&lt;=0),0,
IF(AND(I$10&gt;TODAY(),$W$7&lt;=0,I53&lt;=0),0,
IF(I85&lt;=0,1,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))),"")</f>
        <v>1</v>
      </c>
      <c r="J66" s="352">
        <f ca="1">IF(EB.Anwendung&lt;&gt;"",
IF(AND(J$10&gt;TODAY(),$W$7&gt;0,J52&lt;=0),0,
IF(AND(J$10&gt;TODAY(),$W$7&lt;=0,J53&lt;=0),0,
IF(J85&lt;=0,1,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))),"")</f>
        <v>1</v>
      </c>
      <c r="K66" s="352">
        <f ca="1">IF(EB.Anwendung&lt;&gt;"",
IF(AND(K$10&gt;TODAY(),$W$7&gt;0,K52&lt;=0),0,
IF(AND(K$10&gt;TODAY(),$W$7&lt;=0,K53&lt;=0),0,
IF(K85&lt;=0,1,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))),"")</f>
        <v>1</v>
      </c>
      <c r="L66" s="429">
        <f ca="1">IF(EB.Anwendung&lt;&gt;"",
IF(AND(L$10&gt;TODAY(),$W$7&gt;0,L52&lt;=0),0,
IF(AND(L$10&gt;TODAY(),$W$7&lt;=0,L53&lt;=0),0,
IF(L85&lt;=0,1,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))),"")</f>
        <v>1</v>
      </c>
      <c r="M66" s="352">
        <f ca="1">IF(EB.Anwendung&lt;&gt;"",
IF(AND(M$10&gt;TODAY(),$W$7&gt;0,M52&lt;=0),0,
IF(AND(M$10&gt;TODAY(),$W$7&lt;=0,M53&lt;=0),0,
IF(M85&lt;=0,1,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))),"")</f>
        <v>1</v>
      </c>
      <c r="N66" s="352">
        <f ca="1">IF(EB.Anwendung&lt;&gt;"",
IF(AND(N$10&gt;TODAY(),$W$7&gt;0,N52&lt;=0),0,
IF(AND(N$10&gt;TODAY(),$W$7&lt;=0,N53&lt;=0),0,
IF(N85&lt;=0,1,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))),"")</f>
        <v>0</v>
      </c>
      <c r="O66" s="352">
        <f ca="1">IF(EB.Anwendung&lt;&gt;"",
IF(AND(O$10&gt;TODAY(),$W$7&gt;0,O52&lt;=0),0,
IF(AND(O$10&gt;TODAY(),$W$7&lt;=0,O53&lt;=0),0,
IF(O85&lt;=0,1,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))),"")</f>
        <v>0</v>
      </c>
      <c r="P66" s="352">
        <f ca="1">IF(EB.Anwendung&lt;&gt;"",
IF(AND(P$10&gt;TODAY(),$W$7&gt;0,P52&lt;=0),0,
IF(AND(P$10&gt;TODAY(),$W$7&lt;=0,P53&lt;=0),0,
IF(P85&lt;=0,1,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))),"")</f>
        <v>1</v>
      </c>
      <c r="Q66" s="352">
        <f ca="1">IF(EB.Anwendung&lt;&gt;"",
IF(AND(Q$10&gt;TODAY(),$W$7&gt;0,Q52&lt;=0),0,
IF(AND(Q$10&gt;TODAY(),$W$7&lt;=0,Q53&lt;=0),0,
IF(Q85&lt;=0,1,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))),"")</f>
        <v>1</v>
      </c>
      <c r="R66" s="352">
        <f ca="1">IF(EB.Anwendung&lt;&gt;"",
IF(AND(R$10&gt;TODAY(),$W$7&gt;0,R52&lt;=0),0,
IF(AND(R$10&gt;TODAY(),$W$7&lt;=0,R53&lt;=0),0,
IF(R85&lt;=0,1,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))),"")</f>
        <v>1</v>
      </c>
      <c r="S66" s="429">
        <f ca="1">IF(EB.Anwendung&lt;&gt;"",
IF(AND(S$10&gt;TODAY(),$W$7&gt;0,S52&lt;=0),0,
IF(AND(S$10&gt;TODAY(),$W$7&lt;=0,S53&lt;=0),0,
IF(S85&lt;=0,1,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))),"")</f>
        <v>1</v>
      </c>
      <c r="T66" s="352">
        <f ca="1">IF(EB.Anwendung&lt;&gt;"",
IF(AND(T$10&gt;TODAY(),$W$7&gt;0,T52&lt;=0),0,
IF(AND(T$10&gt;TODAY(),$W$7&lt;=0,T53&lt;=0),0,
IF(T85&lt;=0,1,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))),"")</f>
        <v>1</v>
      </c>
      <c r="U66" s="352">
        <f ca="1">IF(EB.Anwendung&lt;&gt;"",
IF(AND(U$10&gt;TODAY(),$W$7&gt;0,U52&lt;=0),0,
IF(AND(U$10&gt;TODAY(),$W$7&lt;=0,U53&lt;=0),0,
IF(U85&lt;=0,1,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))),"")</f>
        <v>0</v>
      </c>
      <c r="V66" s="352">
        <f ca="1">IF(EB.Anwendung&lt;&gt;"",
IF(AND(V$10&gt;TODAY(),$W$7&gt;0,V52&lt;=0),0,
IF(AND(V$10&gt;TODAY(),$W$7&lt;=0,V53&lt;=0),0,
IF(V85&lt;=0,1,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))),"")</f>
        <v>0</v>
      </c>
      <c r="W66" s="352">
        <f ca="1">IF(EB.Anwendung&lt;&gt;"",
IF(AND(W$10&gt;TODAY(),$W$7&gt;0,W52&lt;=0),0,
IF(AND(W$10&gt;TODAY(),$W$7&lt;=0,W53&lt;=0),0,
IF(W85&lt;=0,1,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))),"")</f>
        <v>1</v>
      </c>
      <c r="X66" s="430">
        <f ca="1">IF(EB.Anwendung&lt;&gt;"",
IF(AND(X$10&gt;TODAY(),$W$7&gt;0,X52&lt;=0),0,
IF(AND(X$10&gt;TODAY(),$W$7&lt;=0,X53&lt;=0),0,
IF(X85&lt;=0,1,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))),"")</f>
        <v>1</v>
      </c>
      <c r="Y66" s="352">
        <f ca="1">IF(EB.Anwendung&lt;&gt;"",
IF(AND(Y$10&gt;TODAY(),$W$7&gt;0,Y52&lt;=0),0,
IF(AND(Y$10&gt;TODAY(),$W$7&lt;=0,Y53&lt;=0),0,
IF(Y85&lt;=0,1,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))),"")</f>
        <v>1</v>
      </c>
      <c r="Z66" s="352">
        <f ca="1">IF(EB.Anwendung&lt;&gt;"",
IF(AND(Z$10&gt;TODAY(),$W$7&gt;0,Z52&lt;=0),0,
IF(AND(Z$10&gt;TODAY(),$W$7&lt;=0,Z53&lt;=0),0,
IF(Z85&lt;=0,1,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))),"")</f>
        <v>1</v>
      </c>
      <c r="AA66" s="352">
        <f ca="1">IF(EB.Anwendung&lt;&gt;"",
IF(AND(AA$10&gt;TODAY(),$W$7&gt;0,AA52&lt;=0),0,
IF(AND(AA$10&gt;TODAY(),$W$7&lt;=0,AA53&lt;=0),0,
IF(AA85&lt;=0,1,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))),"")</f>
        <v>1</v>
      </c>
      <c r="AB66" s="352">
        <f ca="1">IF(EB.Anwendung&lt;&gt;"",
IF(AND(AB$10&gt;TODAY(),$W$7&gt;0,AB52&lt;=0),0,
IF(AND(AB$10&gt;TODAY(),$W$7&lt;=0,AB53&lt;=0),0,
IF(AB85&lt;=0,1,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))),"")</f>
        <v>0</v>
      </c>
      <c r="AC66" s="352">
        <f ca="1">IF(EB.Anwendung&lt;&gt;"",
IF(AND(AC$10&gt;TODAY(),$W$7&gt;0,AC52&lt;=0),0,
IF(AND(AC$10&gt;TODAY(),$W$7&lt;=0,AC53&lt;=0),0,
IF(AC85&lt;=0,1,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))),"")</f>
        <v>0</v>
      </c>
      <c r="AD66" s="352">
        <f ca="1">IF(EB.Anwendung&lt;&gt;"",
IF(AND(AD$10&gt;TODAY(),$W$7&gt;0,AD52&lt;=0),0,
IF(AND(AD$10&gt;TODAY(),$W$7&lt;=0,AD53&lt;=0),0,
IF(AD85&lt;=0,1,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))),"")</f>
        <v>1</v>
      </c>
      <c r="AE66" s="352">
        <f ca="1">IF(EB.Anwendung&lt;&gt;"",
IF(AND(AE$10&gt;TODAY(),$W$7&gt;0,AE52&lt;=0),0,
IF(AND(AE$10&gt;TODAY(),$W$7&lt;=0,AE53&lt;=0),0,
IF(AE85&lt;=0,1,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))),"")</f>
        <v>1</v>
      </c>
      <c r="AF66" s="431">
        <f ca="1">IF(EB.Anwendung&lt;&gt;"",
IF(AND(AF$10&gt;TODAY(),$W$7&gt;0,AF52&lt;=0),0,
IF(AND(AF$10&gt;TODAY(),$W$7&lt;=0,AF53&lt;=0),0,
IF(AF85&lt;=0,1,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))),"")</f>
        <v>1</v>
      </c>
      <c r="AG66" s="211"/>
      <c r="AH66" s="187"/>
      <c r="AI66" s="212"/>
      <c r="AJ66" s="213"/>
      <c r="AK66" s="208"/>
      <c r="AL66" s="208"/>
      <c r="AM66" s="208"/>
      <c r="AN66" s="207"/>
      <c r="AO66" s="208"/>
      <c r="AP66" s="208"/>
      <c r="AQ66" s="118"/>
    </row>
    <row r="67" spans="1:43" s="38" customFormat="1" ht="15" customHeight="1" outlineLevel="1" x14ac:dyDescent="0.2">
      <c r="A67" s="211" t="s">
        <v>18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9"/>
      <c r="AA67" s="27"/>
      <c r="AB67" s="27"/>
      <c r="AC67" s="27"/>
      <c r="AD67" s="27"/>
      <c r="AE67" s="27"/>
      <c r="AF67" s="27"/>
      <c r="AG67" s="204" t="str">
        <f ca="1">A67 &amp; IFERROR(IF(SUMPRODUCT((B66:AF66=0)*(B67:AF67&gt;0))&gt;0," (!)",""),"")</f>
        <v>Kompensation AZ</v>
      </c>
      <c r="AH67" s="217"/>
      <c r="AI67" s="237">
        <f>SUM(B67:AF67)</f>
        <v>0</v>
      </c>
      <c r="AJ67" s="259"/>
      <c r="AK67" s="243">
        <f ca="1">OFFSET(EB.MKAStd.Knoten,MONTH(Monat.Tag1),0,1,1)</f>
        <v>0.4375</v>
      </c>
      <c r="AL67" s="270">
        <f ca="1">IF(EB.Anwendung&lt;&gt;"",IF(MONTH(Monat.Tag1)=1,0,IF(MONTH(Monat.Tag1)=2,Januar!Monat.KomUeVM,IF(MONTH(Monat.Tag1)=3,Februar!Monat.KomUeVM,IF(MONTH(Monat.Tag1)=4,März!Monat.KomUeVM,IF(MONTH(Monat.Tag1)=5,April!Monat.KomUeVM,IF(MONTH(Monat.Tag1)=6,Mai!Monat.KomUeVM,IF(MONTH(Monat.Tag1)=7,Juni!Monat.KomUeVM,IF(MONTH(Monat.Tag1)=8,Juli!Monat.KomUeVM,IF(MONTH(Monat.Tag1)=9,August!Monat.KomUeVM,IF(MONTH(Monat.Tag1)=10,September!Monat.KomUeVM,IF(MONTH(Monat.Tag1)=11,Oktober!Monat.KomUeVM,IF(MONTH(Monat.Tag1)=12,November!Monat.KomUeVM,"")))))))))))),"")</f>
        <v>3.0625</v>
      </c>
      <c r="AM67" s="208"/>
      <c r="AN67" s="244">
        <f ca="1">AK67+AL67-Monat.KomAZ.Total</f>
        <v>3.5</v>
      </c>
      <c r="AO67" s="244">
        <f ca="1">Jahresabrechnung!P12-SUM(OFFSET(Jahresabrechnung!P15,0,0,MONTH(Monat.Tag1),1))</f>
        <v>5.25</v>
      </c>
      <c r="AP67" s="244">
        <f ca="1">Jahresabrechnung!P28</f>
        <v>5.25</v>
      </c>
      <c r="AQ67" s="118"/>
    </row>
    <row r="68" spans="1:43" s="38" customFormat="1" ht="11.25" customHeight="1" x14ac:dyDescent="0.2">
      <c r="A68" s="219"/>
      <c r="B68" s="432">
        <f ca="1">IF(EB.Anwendung&lt;&gt;"",
IF(B67&gt;0,0,
IF(SUM(B23,B45)&gt;0,1,
IF(DAY(B$10)=1,IF(MONTH(Monat.Tag1)=1,1,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68)
)),"")</f>
        <v>1</v>
      </c>
      <c r="C68" s="432">
        <f ca="1">IF(EB.Anwendung&lt;&gt;"",
IF(C67&gt;0,0,
IF(SUM(C23,C45)&gt;0,1,
IF(DAY(C$10)=1,IF(MONTH(Monat.Tag1)=1,1,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B68)
)),"")</f>
        <v>1</v>
      </c>
      <c r="D68" s="432">
        <f ca="1">IF(EB.Anwendung&lt;&gt;"",
IF(D67&gt;0,0,
IF(SUM(D23,D45)&gt;0,1,
IF(DAY(D$10)=1,IF(MONTH(Monat.Tag1)=1,1,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C68)
)),"")</f>
        <v>1</v>
      </c>
      <c r="E68" s="432">
        <f ca="1">IF(EB.Anwendung&lt;&gt;"",
IF(E67&gt;0,0,
IF(SUM(E23,E45)&gt;0,1,
IF(DAY(E$10)=1,IF(MONTH(Monat.Tag1)=1,1,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D68)
)),"")</f>
        <v>1</v>
      </c>
      <c r="F68" s="432">
        <f ca="1">IF(EB.Anwendung&lt;&gt;"",
IF(F67&gt;0,0,
IF(SUM(F23,F45)&gt;0,1,
IF(DAY(F$10)=1,IF(MONTH(Monat.Tag1)=1,1,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E68)
)),"")</f>
        <v>1</v>
      </c>
      <c r="G68" s="432">
        <f ca="1">IF(EB.Anwendung&lt;&gt;"",
IF(G67&gt;0,0,
IF(SUM(G23,G45)&gt;0,1,
IF(DAY(G$10)=1,IF(MONTH(Monat.Tag1)=1,1,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F68)
)),"")</f>
        <v>1</v>
      </c>
      <c r="H68" s="432">
        <f ca="1">IF(EB.Anwendung&lt;&gt;"",
IF(H67&gt;0,0,
IF(SUM(H23,H45)&gt;0,1,
IF(DAY(H$10)=1,IF(MONTH(Monat.Tag1)=1,1,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G68)
)),"")</f>
        <v>1</v>
      </c>
      <c r="I68" s="432">
        <f ca="1">IF(EB.Anwendung&lt;&gt;"",
IF(I67&gt;0,0,
IF(SUM(I23,I45)&gt;0,1,
IF(DAY(I$10)=1,IF(MONTH(Monat.Tag1)=1,1,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H68)
)),"")</f>
        <v>1</v>
      </c>
      <c r="J68" s="432">
        <f ca="1">IF(EB.Anwendung&lt;&gt;"",
IF(J67&gt;0,0,
IF(SUM(J23,J45)&gt;0,1,
IF(DAY(J$10)=1,IF(MONTH(Monat.Tag1)=1,1,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I68)
)),"")</f>
        <v>1</v>
      </c>
      <c r="K68" s="432">
        <f ca="1">IF(EB.Anwendung&lt;&gt;"",
IF(K67&gt;0,0,
IF(SUM(K23,K45)&gt;0,1,
IF(DAY(K$10)=1,IF(MONTH(Monat.Tag1)=1,1,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J68)
)),"")</f>
        <v>1</v>
      </c>
      <c r="L68" s="432">
        <f ca="1">IF(EB.Anwendung&lt;&gt;"",
IF(L67&gt;0,0,
IF(SUM(L23,L45)&gt;0,1,
IF(DAY(L$10)=1,IF(MONTH(Monat.Tag1)=1,1,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K68)
)),"")</f>
        <v>1</v>
      </c>
      <c r="M68" s="432">
        <f ca="1">IF(EB.Anwendung&lt;&gt;"",
IF(M67&gt;0,0,
IF(SUM(M23,M45)&gt;0,1,
IF(DAY(M$10)=1,IF(MONTH(Monat.Tag1)=1,1,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L68)
)),"")</f>
        <v>1</v>
      </c>
      <c r="N68" s="432">
        <f ca="1">IF(EB.Anwendung&lt;&gt;"",
IF(N67&gt;0,0,
IF(SUM(N23,N45)&gt;0,1,
IF(DAY(N$10)=1,IF(MONTH(Monat.Tag1)=1,1,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M68)
)),"")</f>
        <v>1</v>
      </c>
      <c r="O68" s="432">
        <f ca="1">IF(EB.Anwendung&lt;&gt;"",
IF(O67&gt;0,0,
IF(SUM(O23,O45)&gt;0,1,
IF(DAY(O$10)=1,IF(MONTH(Monat.Tag1)=1,1,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N68)
)),"")</f>
        <v>1</v>
      </c>
      <c r="P68" s="432">
        <f ca="1">IF(EB.Anwendung&lt;&gt;"",
IF(P67&gt;0,0,
IF(SUM(P23,P45)&gt;0,1,
IF(DAY(P$10)=1,IF(MONTH(Monat.Tag1)=1,1,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O68)
)),"")</f>
        <v>1</v>
      </c>
      <c r="Q68" s="432">
        <f ca="1">IF(EB.Anwendung&lt;&gt;"",
IF(Q67&gt;0,0,
IF(SUM(Q23,Q45)&gt;0,1,
IF(DAY(Q$10)=1,IF(MONTH(Monat.Tag1)=1,1,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P68)
)),"")</f>
        <v>1</v>
      </c>
      <c r="R68" s="432">
        <f ca="1">IF(EB.Anwendung&lt;&gt;"",
IF(R67&gt;0,0,
IF(SUM(R23,R45)&gt;0,1,
IF(DAY(R$10)=1,IF(MONTH(Monat.Tag1)=1,1,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Q68)
)),"")</f>
        <v>1</v>
      </c>
      <c r="S68" s="432">
        <f ca="1">IF(EB.Anwendung&lt;&gt;"",
IF(S67&gt;0,0,
IF(SUM(S23,S45)&gt;0,1,
IF(DAY(S$10)=1,IF(MONTH(Monat.Tag1)=1,1,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R68)
)),"")</f>
        <v>1</v>
      </c>
      <c r="T68" s="432">
        <f ca="1">IF(EB.Anwendung&lt;&gt;"",
IF(T67&gt;0,0,
IF(SUM(T23,T45)&gt;0,1,
IF(DAY(T$10)=1,IF(MONTH(Monat.Tag1)=1,1,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S68)
)),"")</f>
        <v>1</v>
      </c>
      <c r="U68" s="432">
        <f ca="1">IF(EB.Anwendung&lt;&gt;"",
IF(U67&gt;0,0,
IF(SUM(U23,U45)&gt;0,1,
IF(DAY(U$10)=1,IF(MONTH(Monat.Tag1)=1,1,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T68)
)),"")</f>
        <v>1</v>
      </c>
      <c r="V68" s="432">
        <f ca="1">IF(EB.Anwendung&lt;&gt;"",
IF(V67&gt;0,0,
IF(SUM(V23,V45)&gt;0,1,
IF(DAY(V$10)=1,IF(MONTH(Monat.Tag1)=1,1,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U68)
)),"")</f>
        <v>1</v>
      </c>
      <c r="W68" s="432">
        <f ca="1">IF(EB.Anwendung&lt;&gt;"",
IF(W67&gt;0,0,
IF(SUM(W23,W45)&gt;0,1,
IF(DAY(W$10)=1,IF(MONTH(Monat.Tag1)=1,1,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V68)
)),"")</f>
        <v>1</v>
      </c>
      <c r="X68" s="432">
        <f ca="1">IF(EB.Anwendung&lt;&gt;"",
IF(X67&gt;0,0,
IF(SUM(X23,X45)&gt;0,1,
IF(DAY(X$10)=1,IF(MONTH(Monat.Tag1)=1,1,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W68)
)),"")</f>
        <v>1</v>
      </c>
      <c r="Y68" s="432">
        <f ca="1">IF(EB.Anwendung&lt;&gt;"",
IF(Y67&gt;0,0,
IF(SUM(Y23,Y45)&gt;0,1,
IF(DAY(Y$10)=1,IF(MONTH(Monat.Tag1)=1,1,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X68)
)),"")</f>
        <v>1</v>
      </c>
      <c r="Z68" s="432">
        <f ca="1">IF(EB.Anwendung&lt;&gt;"",
IF(Z67&gt;0,0,
IF(SUM(Z23,Z45)&gt;0,1,
IF(DAY(Z$10)=1,IF(MONTH(Monat.Tag1)=1,1,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Y68)
)),"")</f>
        <v>1</v>
      </c>
      <c r="AA68" s="432">
        <f ca="1">IF(EB.Anwendung&lt;&gt;"",
IF(AA67&gt;0,0,
IF(SUM(AA23,AA45)&gt;0,1,
IF(DAY(AA$10)=1,IF(MONTH(Monat.Tag1)=1,1,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Z68)
)),"")</f>
        <v>1</v>
      </c>
      <c r="AB68" s="432">
        <f ca="1">IF(EB.Anwendung&lt;&gt;"",
IF(AB67&gt;0,0,
IF(SUM(AB23,AB45)&gt;0,1,
IF(DAY(AB$10)=1,IF(MONTH(Monat.Tag1)=1,1,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A68)
)),"")</f>
        <v>1</v>
      </c>
      <c r="AC68" s="432">
        <f ca="1">IF(EB.Anwendung&lt;&gt;"",
IF(AC67&gt;0,0,
IF(SUM(AC23,AC45)&gt;0,1,
IF(DAY(AC$10)=1,IF(MONTH(Monat.Tag1)=1,1,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B68)
)),"")</f>
        <v>1</v>
      </c>
      <c r="AD68" s="432">
        <f ca="1">IF(EB.Anwendung&lt;&gt;"",
IF(AD67&gt;0,0,
IF(SUM(AD23,AD45)&gt;0,1,
IF(DAY(AD$10)=1,IF(MONTH(Monat.Tag1)=1,1,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C68)
)),"")</f>
        <v>1</v>
      </c>
      <c r="AE68" s="432">
        <f ca="1">IF(EB.Anwendung&lt;&gt;"",
IF(AE67&gt;0,0,
IF(SUM(AE23,AE45)&gt;0,1,
IF(DAY(AE$10)=1,IF(MONTH(Monat.Tag1)=1,1,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D68)
)),"")</f>
        <v>1</v>
      </c>
      <c r="AF68" s="433">
        <f ca="1">IF(EB.Anwendung&lt;&gt;"",
IF(AF67&gt;0,0,
IF(SUM(AF23,AF45)&gt;0,1,
IF(DAY(AF$10)=1,IF(MONTH(Monat.Tag1)=1,1,
IF(MONTH(Monat.Tag1)=2,Januar!Monat.KompAZInd.UeVM,IF(MONTH(Monat.Tag1)=3,Februar!Monat.KompAZInd.UeVM,IF(MONTH(Monat.Tag1)=4,März!Monat.KompAZInd.UeVM,IF(MONTH(Monat.Tag1)=5,April!Monat.KompAZInd.UeVM,IF(MONTH(Monat.Tag1)=6,Mai!Monat.KompAZInd.UeVM,IF(MONTH(Monat.Tag1)=7,Juni!Monat.KompAZInd.UeVM,IF(MONTH(Monat.Tag1)=8,Juli!Monat.KompAZInd.UeVM,IF(MONTH(Monat.Tag1)=9,August!Monat.KompAZInd.UeVM,IF(MONTH(Monat.Tag1)=10,September!Monat.KompAZInd.UeVM,IF(MONTH(Monat.Tag1)=11,Oktober!Monat.KompAZInd.UeVM,IF(MONTH(Monat.Tag1)=12,November!Monat.KompAZInd.UeVM,"")))))))))))),AE68)
)),"")</f>
        <v>1</v>
      </c>
      <c r="AG68" s="204"/>
      <c r="AH68" s="187"/>
      <c r="AI68" s="212"/>
      <c r="AJ68" s="213"/>
      <c r="AK68" s="208"/>
      <c r="AL68" s="208"/>
      <c r="AM68" s="208"/>
      <c r="AN68" s="434">
        <f ca="1">IF(OFFSET(A68,0,DAY(EOMONTH(Monat.Tag1,0)))=0,0,1)</f>
        <v>1</v>
      </c>
      <c r="AO68" s="208"/>
      <c r="AP68" s="208"/>
      <c r="AQ68" s="118"/>
    </row>
    <row r="69" spans="1:43" s="38" customFormat="1" ht="15" hidden="1" customHeight="1" x14ac:dyDescent="0.2">
      <c r="A69" s="211" t="s">
        <v>205</v>
      </c>
      <c r="B69" s="271">
        <f ca="1">IF(AND(T.50_Vetsuisse,B72=INDEX(T.JaNein.Bereich,1,1),B73&gt;0,MOD(IFERROR(MATCH(1,B13:B22,0),1),2)=0),1,
IF(AND(T.ServiceCenterIrchel,B72=INDEX(T.JaNein.Bereich,1,1),B77&gt;0),1,
IF(AND(T.50_Vetsuisse=FALSE,T.ServiceCenterIrchel=FALSE,B77&gt;0),1,0)))</f>
        <v>0</v>
      </c>
      <c r="C69" s="271">
        <f t="shared" ref="C69:AF69" ca="1" si="18">IF(AND(T.50_Vetsuisse,C72=INDEX(T.JaNein.Bereich,1,1),C73&gt;0,MOD(IFERROR(MATCH(1,C13:C22,0),1),2)=0),1,
IF(AND(T.ServiceCenterIrchel,C72=INDEX(T.JaNein.Bereich,1,1),C77&gt;0),1,
IF(AND(T.50_Vetsuisse=FALSE,T.ServiceCenterIrchel=FALSE,C77&gt;0),1,0)))</f>
        <v>0</v>
      </c>
      <c r="D69" s="271">
        <f t="shared" ca="1" si="18"/>
        <v>0</v>
      </c>
      <c r="E69" s="271">
        <f t="shared" ca="1" si="18"/>
        <v>0</v>
      </c>
      <c r="F69" s="271">
        <f t="shared" ca="1" si="18"/>
        <v>0</v>
      </c>
      <c r="G69" s="271">
        <f t="shared" ca="1" si="18"/>
        <v>0</v>
      </c>
      <c r="H69" s="271">
        <f t="shared" ca="1" si="18"/>
        <v>0</v>
      </c>
      <c r="I69" s="271">
        <f t="shared" ca="1" si="18"/>
        <v>0</v>
      </c>
      <c r="J69" s="271">
        <f t="shared" ca="1" si="18"/>
        <v>0</v>
      </c>
      <c r="K69" s="271">
        <f t="shared" ca="1" si="18"/>
        <v>0</v>
      </c>
      <c r="L69" s="271">
        <f t="shared" ca="1" si="18"/>
        <v>0</v>
      </c>
      <c r="M69" s="271">
        <f t="shared" ca="1" si="18"/>
        <v>0</v>
      </c>
      <c r="N69" s="271">
        <f t="shared" ca="1" si="18"/>
        <v>0</v>
      </c>
      <c r="O69" s="271">
        <f t="shared" ca="1" si="18"/>
        <v>0</v>
      </c>
      <c r="P69" s="271">
        <f t="shared" ca="1" si="18"/>
        <v>0</v>
      </c>
      <c r="Q69" s="271">
        <f t="shared" ca="1" si="18"/>
        <v>0</v>
      </c>
      <c r="R69" s="271">
        <f t="shared" ca="1" si="18"/>
        <v>0</v>
      </c>
      <c r="S69" s="271">
        <f t="shared" ca="1" si="18"/>
        <v>0</v>
      </c>
      <c r="T69" s="271">
        <f t="shared" ca="1" si="18"/>
        <v>0</v>
      </c>
      <c r="U69" s="271">
        <f t="shared" ca="1" si="18"/>
        <v>0</v>
      </c>
      <c r="V69" s="271">
        <f t="shared" ca="1" si="18"/>
        <v>0</v>
      </c>
      <c r="W69" s="271">
        <f t="shared" ca="1" si="18"/>
        <v>0</v>
      </c>
      <c r="X69" s="271">
        <f t="shared" ca="1" si="18"/>
        <v>0</v>
      </c>
      <c r="Y69" s="271">
        <f t="shared" ca="1" si="18"/>
        <v>0</v>
      </c>
      <c r="Z69" s="271">
        <f t="shared" ca="1" si="18"/>
        <v>0</v>
      </c>
      <c r="AA69" s="271">
        <f t="shared" ca="1" si="18"/>
        <v>0</v>
      </c>
      <c r="AB69" s="271">
        <f t="shared" ca="1" si="18"/>
        <v>0</v>
      </c>
      <c r="AC69" s="271">
        <f t="shared" ca="1" si="18"/>
        <v>0</v>
      </c>
      <c r="AD69" s="271">
        <f t="shared" ca="1" si="18"/>
        <v>0</v>
      </c>
      <c r="AE69" s="271">
        <f t="shared" ca="1" si="18"/>
        <v>0</v>
      </c>
      <c r="AF69" s="271">
        <f t="shared" ca="1" si="18"/>
        <v>0</v>
      </c>
      <c r="AG69" s="204" t="str">
        <f>A69</f>
        <v>Zähler Nachtdienst</v>
      </c>
      <c r="AH69" s="272"/>
      <c r="AI69" s="273">
        <f ca="1">SUM(B69:AF69)</f>
        <v>0</v>
      </c>
      <c r="AJ69" s="259"/>
      <c r="AK69" s="223"/>
      <c r="AL69" s="274">
        <f ca="1">IF(EB.Anwendung&lt;&gt;"",IF(MONTH(Monat.Tag1)=1,0,IF(MONTH(Monat.Tag1)=2,Januar!Monat.ZählerNDUe,IF(MONTH(Monat.Tag1)=3,Februar!Monat.ZählerNDUe,IF(MONTH(Monat.Tag1)=4,März!Monat.ZählerNDUe,IF(MONTH(Monat.Tag1)=5,April!Monat.ZählerNDUe,IF(MONTH(Monat.Tag1)=6,Mai!Monat.ZählerNDUe,IF(MONTH(Monat.Tag1)=7,Juni!Monat.ZählerNDUe,IF(MONTH(Monat.Tag1)=8,Juli!Monat.ZählerNDUe,IF(MONTH(Monat.Tag1)=9,August!Monat.ZählerNDUe,IF(MONTH(Monat.Tag1)=10,September!Monat.ZählerNDUe,IF(MONTH(Monat.Tag1)=11,Oktober!Monat.ZählerNDUe,IF(MONTH(Monat.Tag1)=12,November!Monat.ZählerNDUe,"")))))))))))),"")</f>
        <v>0</v>
      </c>
      <c r="AM69" s="208"/>
      <c r="AN69" s="275">
        <f ca="1">AL69+AI69</f>
        <v>0</v>
      </c>
      <c r="AO69" s="207"/>
      <c r="AP69" s="207"/>
      <c r="AQ69" s="118"/>
    </row>
    <row r="70" spans="1:43" s="38" customFormat="1" ht="15" hidden="1" customHeight="1" x14ac:dyDescent="0.2">
      <c r="A70" s="211" t="s">
        <v>212</v>
      </c>
      <c r="B70" s="271">
        <f t="shared" ref="B70:AF70" ca="1" si="19">IF(DAY(B$10)=1,$AL$69,A70)+B69</f>
        <v>0</v>
      </c>
      <c r="C70" s="271">
        <f t="shared" ca="1" si="19"/>
        <v>0</v>
      </c>
      <c r="D70" s="271">
        <f t="shared" ca="1" si="19"/>
        <v>0</v>
      </c>
      <c r="E70" s="271">
        <f t="shared" ca="1" si="19"/>
        <v>0</v>
      </c>
      <c r="F70" s="271">
        <f t="shared" ca="1" si="19"/>
        <v>0</v>
      </c>
      <c r="G70" s="271">
        <f t="shared" ca="1" si="19"/>
        <v>0</v>
      </c>
      <c r="H70" s="271">
        <f t="shared" ca="1" si="19"/>
        <v>0</v>
      </c>
      <c r="I70" s="271">
        <f t="shared" ca="1" si="19"/>
        <v>0</v>
      </c>
      <c r="J70" s="271">
        <f t="shared" ca="1" si="19"/>
        <v>0</v>
      </c>
      <c r="K70" s="271">
        <f t="shared" ca="1" si="19"/>
        <v>0</v>
      </c>
      <c r="L70" s="271">
        <f t="shared" ca="1" si="19"/>
        <v>0</v>
      </c>
      <c r="M70" s="271">
        <f t="shared" ca="1" si="19"/>
        <v>0</v>
      </c>
      <c r="N70" s="271">
        <f t="shared" ca="1" si="19"/>
        <v>0</v>
      </c>
      <c r="O70" s="271">
        <f t="shared" ca="1" si="19"/>
        <v>0</v>
      </c>
      <c r="P70" s="271">
        <f t="shared" ca="1" si="19"/>
        <v>0</v>
      </c>
      <c r="Q70" s="271">
        <f t="shared" ca="1" si="19"/>
        <v>0</v>
      </c>
      <c r="R70" s="271">
        <f t="shared" ca="1" si="19"/>
        <v>0</v>
      </c>
      <c r="S70" s="271">
        <f t="shared" ca="1" si="19"/>
        <v>0</v>
      </c>
      <c r="T70" s="271">
        <f t="shared" ca="1" si="19"/>
        <v>0</v>
      </c>
      <c r="U70" s="271">
        <f t="shared" ca="1" si="19"/>
        <v>0</v>
      </c>
      <c r="V70" s="271">
        <f t="shared" ca="1" si="19"/>
        <v>0</v>
      </c>
      <c r="W70" s="271">
        <f t="shared" ca="1" si="19"/>
        <v>0</v>
      </c>
      <c r="X70" s="271">
        <f t="shared" ca="1" si="19"/>
        <v>0</v>
      </c>
      <c r="Y70" s="271">
        <f t="shared" ca="1" si="19"/>
        <v>0</v>
      </c>
      <c r="Z70" s="271">
        <f t="shared" ca="1" si="19"/>
        <v>0</v>
      </c>
      <c r="AA70" s="271">
        <f t="shared" ca="1" si="19"/>
        <v>0</v>
      </c>
      <c r="AB70" s="271">
        <f t="shared" ca="1" si="19"/>
        <v>0</v>
      </c>
      <c r="AC70" s="271">
        <f t="shared" ca="1" si="19"/>
        <v>0</v>
      </c>
      <c r="AD70" s="271">
        <f t="shared" ca="1" si="19"/>
        <v>0</v>
      </c>
      <c r="AE70" s="271">
        <f t="shared" ca="1" si="19"/>
        <v>0</v>
      </c>
      <c r="AF70" s="271">
        <f t="shared" ca="1" si="19"/>
        <v>0</v>
      </c>
      <c r="AG70" s="204" t="str">
        <f t="shared" ref="AG70:AG82" si="20">A70</f>
        <v>Saldo Zähler Nachtdienst</v>
      </c>
      <c r="AH70" s="227"/>
      <c r="AI70" s="223"/>
      <c r="AJ70" s="276"/>
      <c r="AK70" s="260"/>
      <c r="AL70" s="260"/>
      <c r="AM70" s="208"/>
      <c r="AN70" s="277"/>
      <c r="AO70" s="207"/>
      <c r="AP70" s="207"/>
      <c r="AQ70" s="118"/>
    </row>
    <row r="71" spans="1:43" s="38" customFormat="1" ht="15" hidden="1" customHeight="1" outlineLevel="1" x14ac:dyDescent="0.2">
      <c r="A71" s="211" t="s">
        <v>195</v>
      </c>
      <c r="B71" s="40"/>
      <c r="C71" s="40"/>
      <c r="D71" s="40"/>
      <c r="E71" s="27"/>
      <c r="F71" s="40"/>
      <c r="G71" s="40"/>
      <c r="H71" s="40"/>
      <c r="I71" s="40"/>
      <c r="J71" s="27"/>
      <c r="K71" s="40"/>
      <c r="L71" s="27"/>
      <c r="M71" s="40"/>
      <c r="N71" s="40"/>
      <c r="O71" s="40"/>
      <c r="P71" s="40"/>
      <c r="Q71" s="27"/>
      <c r="R71" s="40"/>
      <c r="S71" s="27"/>
      <c r="T71" s="27"/>
      <c r="U71" s="40"/>
      <c r="V71" s="40"/>
      <c r="W71" s="40"/>
      <c r="X71" s="27"/>
      <c r="Y71" s="40"/>
      <c r="Z71" s="39"/>
      <c r="AA71" s="40"/>
      <c r="AB71" s="40"/>
      <c r="AC71" s="40"/>
      <c r="AD71" s="40"/>
      <c r="AE71" s="27"/>
      <c r="AF71" s="40"/>
      <c r="AG71" s="204" t="str">
        <f t="shared" si="20"/>
        <v>Kompensation ZZS Nachtdienst</v>
      </c>
      <c r="AH71" s="217"/>
      <c r="AI71" s="237">
        <f t="shared" ref="AI71" si="21">SUM(B71:AF71)</f>
        <v>0</v>
      </c>
      <c r="AJ71" s="259"/>
      <c r="AK71" s="260"/>
      <c r="AL71" s="243">
        <f ca="1">IF(EB.Anwendung&lt;&gt;"",IF(MONTH(Monat.Tag1)=1,0,IF(MONTH(Monat.Tag1)=2,Januar!Monat.KompZZSNDUeVM,IF(MONTH(Monat.Tag1)=3,Februar!Monat.KompZZSNDUeVM,IF(MONTH(Monat.Tag1)=4,März!Monat.KompZZSNDUeVM,IF(MONTH(Monat.Tag1)=5,April!Monat.KompZZSNDUeVM,IF(MONTH(Monat.Tag1)=6,Mai!Monat.KompZZSNDUeVM,IF(MONTH(Monat.Tag1)=7,Juni!Monat.KompZZSNDUeVM,IF(MONTH(Monat.Tag1)=8,Juli!Monat.KompZZSNDUeVM,IF(MONTH(Monat.Tag1)=9,August!Monat.KompZZSNDUeVM,IF(MONTH(Monat.Tag1)=10,September!Monat.KompZZSNDUeVM,IF(MONTH(Monat.Tag1)=11,Oktober!Monat.KompZZSNDUeVM,IF(MONTH(Monat.Tag1)=12,November!Monat.KompZZSNDUeVM,"")))))))))))),"")</f>
        <v>0</v>
      </c>
      <c r="AM71" s="208"/>
      <c r="AN71" s="244">
        <f ca="1">AI71+AL71</f>
        <v>0</v>
      </c>
      <c r="AO71" s="244">
        <f ca="1">SUM(OFFSET(Jahr.KompZZSND,-12,0,MONTH(Monat.Tag1),1))</f>
        <v>0</v>
      </c>
      <c r="AP71" s="244">
        <f ca="1">Jahr.KompZZSND</f>
        <v>0</v>
      </c>
      <c r="AQ71" s="118"/>
    </row>
    <row r="72" spans="1:43" s="38" customFormat="1" ht="15" hidden="1" customHeight="1" outlineLevel="1" x14ac:dyDescent="0.2">
      <c r="A72" s="211" t="s">
        <v>227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204" t="str">
        <f t="shared" si="20"/>
        <v>Start Gepl. Nachtdienst Ja/Nein</v>
      </c>
      <c r="AH72" s="217"/>
      <c r="AI72" s="223"/>
      <c r="AJ72" s="228">
        <f ca="1">IFERROR(SUMPRODUCT((B72:AF72=INDEX(T.JaNein.Bereich,1))*(B72:AF72&lt;&gt;"")),0)</f>
        <v>0</v>
      </c>
      <c r="AK72" s="260"/>
      <c r="AL72" s="228">
        <f ca="1">AL69</f>
        <v>0</v>
      </c>
      <c r="AM72" s="208"/>
      <c r="AN72" s="275">
        <f ca="1">AN69</f>
        <v>0</v>
      </c>
      <c r="AO72" s="208"/>
      <c r="AP72" s="208"/>
      <c r="AQ72" s="118"/>
    </row>
    <row r="73" spans="1:43" s="38" customFormat="1" ht="15" customHeight="1" outlineLevel="1" x14ac:dyDescent="0.2">
      <c r="A73" s="211" t="s">
        <v>77</v>
      </c>
      <c r="B73" s="278">
        <f t="shared" ref="B73:AF73" ca="1" si="22">IF(B$12=0,0,IF(OR(T.50_Vetsuisse,T.ServiceCenterIrchel,T.MedizinischeMikrobiologie),ROUND((B14-B13+MAX(0,T.Nachtab-MAX(T.Nachtbis,B14))-MAX(0,T.Nachtab-MAX(B13,T.Nachtbis))+(B13&gt;B14)*(1+T.Nachtbis-T.Nachtab)+B16-B15+MAX(0,T.Nachtab-MAX(T.Nachtbis,B16))-MAX(0,T.Nachtab-MAX(B15,T.Nachtbis))+(B15&gt;B16)*(1+T.Nachtbis-T.Nachtab)+B18-B17+MAX(0,T.Nachtab-MAX(T.Nachtbis,B18))-MAX(0,T.Nachtab-MAX(B17,T.Nachtbis))+(B17&gt;B18)*(1+T.Nachtbis-T.Nachtab)+B20-B19+MAX(0,T.Nachtab-MAX(T.Nachtbis,B20))-MAX(0,T.Nachtab-MAX(B19,T.Nachtbis))+(B19&gt;B20)*(1+T.Nachtbis-T.Nachtab)+B22-B21+MAX(0,T.Nachtab-MAX(T.Nachtbis,B22))-MAX(0,T.Nachtab-MAX(B21,T.Nachtbis))+(B21&gt;B22)*(1+T.Nachtbis-T.Nachtab))*1440,0)/1440,
IF(AND(WEEKDAY(B$10,2)&lt;6,B$11&lt;&gt;0),ROUND((B36-B35+MAX(0,T.Nachtab-MAX(T.Nachtbis,B36))-MAX(0,T.Nachtab-MAX(B35,T.Nachtbis))+(B35&gt;B36)*(1+T.Nachtbis-T.Nachtab)+B38-B37+MAX(0,T.Nachtab-MAX(T.Nachtbis,B38))-MAX(0,T.Nachtab-MAX(B37,T.Nachtbis))+(B37&gt;B38)*(1+T.Nachtbis-T.Nachtab)+B40-B39+MAX(0,T.Nachtab-MAX(T.Nachtbis,B40))-MAX(0,T.Nachtab-MAX(B39,T.Nachtbis))+(B39&gt;B40)*(1+T.Nachtbis-T.Nachtab)+B42-B41+MAX(0,T.Nachtab-MAX(T.Nachtbis,B42))-MAX(0,T.Nachtab-MAX(B41,T.Nachtbis))+(B41&gt;B42)*(1+T.Nachtbis-T.Nachtab)+B44-B43+MAX(0,T.Nachtab-MAX(T.Nachtbis,B44))-MAX(0,T.Nachtab-MAX(B43,T.Nachtbis))+(B43&gt;B44)*(1+T.Nachtbis-T.Nachtab))*1440,0)/1440,0)))</f>
        <v>0</v>
      </c>
      <c r="C73" s="278">
        <f t="shared" ca="1" si="22"/>
        <v>0</v>
      </c>
      <c r="D73" s="278">
        <f t="shared" ca="1" si="22"/>
        <v>0</v>
      </c>
      <c r="E73" s="278">
        <f t="shared" ca="1" si="22"/>
        <v>0</v>
      </c>
      <c r="F73" s="278">
        <f t="shared" ca="1" si="22"/>
        <v>0</v>
      </c>
      <c r="G73" s="278">
        <f t="shared" ca="1" si="22"/>
        <v>0</v>
      </c>
      <c r="H73" s="278">
        <f t="shared" ca="1" si="22"/>
        <v>0</v>
      </c>
      <c r="I73" s="278">
        <f t="shared" ca="1" si="22"/>
        <v>0</v>
      </c>
      <c r="J73" s="278">
        <f t="shared" ca="1" si="22"/>
        <v>0</v>
      </c>
      <c r="K73" s="278">
        <f t="shared" ca="1" si="22"/>
        <v>0</v>
      </c>
      <c r="L73" s="278">
        <f t="shared" ca="1" si="22"/>
        <v>0</v>
      </c>
      <c r="M73" s="278">
        <f t="shared" ca="1" si="22"/>
        <v>0</v>
      </c>
      <c r="N73" s="278">
        <f t="shared" ca="1" si="22"/>
        <v>0</v>
      </c>
      <c r="O73" s="278">
        <f t="shared" ca="1" si="22"/>
        <v>0</v>
      </c>
      <c r="P73" s="278">
        <f t="shared" ca="1" si="22"/>
        <v>0</v>
      </c>
      <c r="Q73" s="278">
        <f t="shared" ca="1" si="22"/>
        <v>0</v>
      </c>
      <c r="R73" s="278">
        <f t="shared" ca="1" si="22"/>
        <v>0</v>
      </c>
      <c r="S73" s="278">
        <f t="shared" ca="1" si="22"/>
        <v>0</v>
      </c>
      <c r="T73" s="278">
        <f t="shared" ca="1" si="22"/>
        <v>0</v>
      </c>
      <c r="U73" s="278">
        <f t="shared" ca="1" si="22"/>
        <v>0</v>
      </c>
      <c r="V73" s="278">
        <f t="shared" ca="1" si="22"/>
        <v>0</v>
      </c>
      <c r="W73" s="278">
        <f t="shared" ca="1" si="22"/>
        <v>0</v>
      </c>
      <c r="X73" s="278">
        <f t="shared" ca="1" si="22"/>
        <v>0</v>
      </c>
      <c r="Y73" s="278">
        <f t="shared" ca="1" si="22"/>
        <v>0</v>
      </c>
      <c r="Z73" s="278">
        <f t="shared" ca="1" si="22"/>
        <v>0</v>
      </c>
      <c r="AA73" s="278">
        <f t="shared" ca="1" si="22"/>
        <v>0</v>
      </c>
      <c r="AB73" s="278">
        <f t="shared" ca="1" si="22"/>
        <v>0</v>
      </c>
      <c r="AC73" s="278">
        <f t="shared" ca="1" si="22"/>
        <v>0</v>
      </c>
      <c r="AD73" s="278">
        <f t="shared" ca="1" si="22"/>
        <v>0</v>
      </c>
      <c r="AE73" s="278">
        <f t="shared" ca="1" si="22"/>
        <v>0</v>
      </c>
      <c r="AF73" s="278">
        <f t="shared" ca="1" si="22"/>
        <v>0</v>
      </c>
      <c r="AG73" s="204" t="str">
        <f t="shared" si="20"/>
        <v>Nachtdienst</v>
      </c>
      <c r="AH73" s="227"/>
      <c r="AI73" s="237">
        <f ca="1">SUM(B73:AF73)</f>
        <v>0</v>
      </c>
      <c r="AJ73" s="228">
        <f ca="1">IF(OR(T.50_Vetsuisse,T.ServiceCenterIrchel),AI69,
IFERROR(SUMPRODUCT((B77:AF77&gt;0)*(B77:AF77&lt;&gt;"")),0))</f>
        <v>0</v>
      </c>
      <c r="AK73" s="223"/>
      <c r="AL73" s="243">
        <f ca="1">IF(EB.Anwendung&lt;&gt;"",IF(MONTH(Monat.Tag1)=1,0,IF(MONTH(Monat.Tag1)=2,Januar!Monat.NDUeVM,IF(MONTH(Monat.Tag1)=3,Februar!Monat.NDUeVM,IF(MONTH(Monat.Tag1)=4,März!Monat.NDUeVM,IF(MONTH(Monat.Tag1)=5,April!Monat.NDUeVM,IF(MONTH(Monat.Tag1)=6,Mai!Monat.NDUeVM,IF(MONTH(Monat.Tag1)=7,Juni!Monat.NDUeVM,IF(MONTH(Monat.Tag1)=8,Juli!Monat.NDUeVM,IF(MONTH(Monat.Tag1)=9,August!Monat.NDUeVM,IF(MONTH(Monat.Tag1)=10,September!Monat.NDUeVM,IF(MONTH(Monat.Tag1)=11,Oktober!Monat.NDUeVM,IF(MONTH(Monat.Tag1)=12,November!Monat.NDUeVM,"")))))))))))),"")</f>
        <v>0</v>
      </c>
      <c r="AM73" s="208"/>
      <c r="AN73" s="244">
        <f ca="1">AI73+AL73</f>
        <v>0</v>
      </c>
      <c r="AO73" s="207"/>
      <c r="AP73" s="207"/>
      <c r="AQ73" s="118"/>
    </row>
    <row r="74" spans="1:43" s="38" customFormat="1" ht="3.75" hidden="1" customHeight="1" x14ac:dyDescent="0.2">
      <c r="A74" s="21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212"/>
      <c r="AG74" s="204"/>
      <c r="AH74" s="187"/>
      <c r="AI74" s="212"/>
      <c r="AJ74" s="213"/>
      <c r="AK74" s="208"/>
      <c r="AL74" s="208"/>
      <c r="AM74" s="208"/>
      <c r="AN74" s="207"/>
      <c r="AO74" s="208"/>
      <c r="AP74" s="208"/>
      <c r="AQ74" s="118"/>
    </row>
    <row r="75" spans="1:43" s="38" customFormat="1" ht="16.5" hidden="1" customHeight="1" outlineLevel="1" x14ac:dyDescent="0.2">
      <c r="A75" s="214" t="s">
        <v>245</v>
      </c>
      <c r="B75" s="215">
        <f t="shared" ref="B75:AF75" ca="1" si="23">IF(B73&gt;0,ROUND((B73-
IF(B13&lt;T.Nachtbis,MIN(T.Nachtbis-B13,B14-B13)+IF(B15&lt;T.Nachtbis,MIN(T.Nachtbis-B15,B16-B15)+IF(B17&lt;T.Nachtbis,MIN(T.Nachtbis-B17,B18-B17)+IF(B19&lt;T.Nachtbis,MIN(T.Nachtbis-B19,B20-B19)+IF(B21&lt;T.Nachtbis,MIN(T.Nachtbis-B21,B22-B21),0),0),0),0),0))*1440,0)/1440,0)</f>
        <v>0</v>
      </c>
      <c r="C75" s="215">
        <f t="shared" ca="1" si="23"/>
        <v>0</v>
      </c>
      <c r="D75" s="215">
        <f t="shared" ca="1" si="23"/>
        <v>0</v>
      </c>
      <c r="E75" s="215">
        <f t="shared" ca="1" si="23"/>
        <v>0</v>
      </c>
      <c r="F75" s="215">
        <f t="shared" ca="1" si="23"/>
        <v>0</v>
      </c>
      <c r="G75" s="215">
        <f t="shared" ca="1" si="23"/>
        <v>0</v>
      </c>
      <c r="H75" s="215">
        <f t="shared" ca="1" si="23"/>
        <v>0</v>
      </c>
      <c r="I75" s="215">
        <f t="shared" ca="1" si="23"/>
        <v>0</v>
      </c>
      <c r="J75" s="215">
        <f t="shared" ca="1" si="23"/>
        <v>0</v>
      </c>
      <c r="K75" s="215">
        <f t="shared" ca="1" si="23"/>
        <v>0</v>
      </c>
      <c r="L75" s="215">
        <f t="shared" ca="1" si="23"/>
        <v>0</v>
      </c>
      <c r="M75" s="215">
        <f t="shared" ca="1" si="23"/>
        <v>0</v>
      </c>
      <c r="N75" s="215">
        <f t="shared" ca="1" si="23"/>
        <v>0</v>
      </c>
      <c r="O75" s="215">
        <f t="shared" ca="1" si="23"/>
        <v>0</v>
      </c>
      <c r="P75" s="215">
        <f t="shared" ca="1" si="23"/>
        <v>0</v>
      </c>
      <c r="Q75" s="215">
        <f t="shared" ca="1" si="23"/>
        <v>0</v>
      </c>
      <c r="R75" s="215">
        <f t="shared" ca="1" si="23"/>
        <v>0</v>
      </c>
      <c r="S75" s="215">
        <f t="shared" ca="1" si="23"/>
        <v>0</v>
      </c>
      <c r="T75" s="215">
        <f t="shared" ca="1" si="23"/>
        <v>0</v>
      </c>
      <c r="U75" s="215">
        <f t="shared" ca="1" si="23"/>
        <v>0</v>
      </c>
      <c r="V75" s="215">
        <f t="shared" ca="1" si="23"/>
        <v>0</v>
      </c>
      <c r="W75" s="215">
        <f t="shared" ca="1" si="23"/>
        <v>0</v>
      </c>
      <c r="X75" s="215">
        <f t="shared" ca="1" si="23"/>
        <v>0</v>
      </c>
      <c r="Y75" s="215">
        <f t="shared" ca="1" si="23"/>
        <v>0</v>
      </c>
      <c r="Z75" s="215">
        <f t="shared" ca="1" si="23"/>
        <v>0</v>
      </c>
      <c r="AA75" s="215">
        <f t="shared" ca="1" si="23"/>
        <v>0</v>
      </c>
      <c r="AB75" s="215">
        <f t="shared" ca="1" si="23"/>
        <v>0</v>
      </c>
      <c r="AC75" s="215">
        <f t="shared" ca="1" si="23"/>
        <v>0</v>
      </c>
      <c r="AD75" s="215">
        <f t="shared" ca="1" si="23"/>
        <v>0</v>
      </c>
      <c r="AE75" s="215">
        <f t="shared" ca="1" si="23"/>
        <v>0</v>
      </c>
      <c r="AF75" s="215">
        <f t="shared" ca="1" si="23"/>
        <v>0</v>
      </c>
      <c r="AG75" s="216" t="str">
        <f t="shared" ref="AG75:AG77" si="24">A75</f>
        <v>Total ND Stunden heute</v>
      </c>
      <c r="AH75" s="187"/>
      <c r="AI75" s="212"/>
      <c r="AJ75" s="213"/>
      <c r="AK75" s="208"/>
      <c r="AL75" s="208"/>
      <c r="AM75" s="208"/>
      <c r="AN75" s="207"/>
      <c r="AO75" s="208"/>
      <c r="AP75" s="208"/>
      <c r="AQ75" s="118"/>
    </row>
    <row r="76" spans="1:43" s="38" customFormat="1" ht="16.5" hidden="1" customHeight="1" outlineLevel="1" x14ac:dyDescent="0.2">
      <c r="A76" s="214" t="s">
        <v>246</v>
      </c>
      <c r="B76" s="224">
        <f t="shared" ref="B76:AF76" ca="1" si="25">B73-B75</f>
        <v>0</v>
      </c>
      <c r="C76" s="224">
        <f t="shared" ca="1" si="25"/>
        <v>0</v>
      </c>
      <c r="D76" s="224">
        <f t="shared" ca="1" si="25"/>
        <v>0</v>
      </c>
      <c r="E76" s="224">
        <f t="shared" ca="1" si="25"/>
        <v>0</v>
      </c>
      <c r="F76" s="224">
        <f t="shared" ca="1" si="25"/>
        <v>0</v>
      </c>
      <c r="G76" s="224">
        <f t="shared" ca="1" si="25"/>
        <v>0</v>
      </c>
      <c r="H76" s="224">
        <f t="shared" ca="1" si="25"/>
        <v>0</v>
      </c>
      <c r="I76" s="224">
        <f t="shared" ca="1" si="25"/>
        <v>0</v>
      </c>
      <c r="J76" s="224">
        <f t="shared" ca="1" si="25"/>
        <v>0</v>
      </c>
      <c r="K76" s="224">
        <f t="shared" ca="1" si="25"/>
        <v>0</v>
      </c>
      <c r="L76" s="224">
        <f t="shared" ca="1" si="25"/>
        <v>0</v>
      </c>
      <c r="M76" s="224">
        <f t="shared" ca="1" si="25"/>
        <v>0</v>
      </c>
      <c r="N76" s="224">
        <f t="shared" ca="1" si="25"/>
        <v>0</v>
      </c>
      <c r="O76" s="224">
        <f t="shared" ca="1" si="25"/>
        <v>0</v>
      </c>
      <c r="P76" s="224">
        <f t="shared" ca="1" si="25"/>
        <v>0</v>
      </c>
      <c r="Q76" s="224">
        <f t="shared" ca="1" si="25"/>
        <v>0</v>
      </c>
      <c r="R76" s="224">
        <f t="shared" ca="1" si="25"/>
        <v>0</v>
      </c>
      <c r="S76" s="224">
        <f t="shared" ca="1" si="25"/>
        <v>0</v>
      </c>
      <c r="T76" s="224">
        <f t="shared" ca="1" si="25"/>
        <v>0</v>
      </c>
      <c r="U76" s="224">
        <f t="shared" ca="1" si="25"/>
        <v>0</v>
      </c>
      <c r="V76" s="224">
        <f t="shared" ca="1" si="25"/>
        <v>0</v>
      </c>
      <c r="W76" s="224">
        <f t="shared" ca="1" si="25"/>
        <v>0</v>
      </c>
      <c r="X76" s="224">
        <f t="shared" ca="1" si="25"/>
        <v>0</v>
      </c>
      <c r="Y76" s="224">
        <f t="shared" ca="1" si="25"/>
        <v>0</v>
      </c>
      <c r="Z76" s="224">
        <f t="shared" ca="1" si="25"/>
        <v>0</v>
      </c>
      <c r="AA76" s="224">
        <f t="shared" ca="1" si="25"/>
        <v>0</v>
      </c>
      <c r="AB76" s="224">
        <f t="shared" ca="1" si="25"/>
        <v>0</v>
      </c>
      <c r="AC76" s="224">
        <f t="shared" ca="1" si="25"/>
        <v>0</v>
      </c>
      <c r="AD76" s="224">
        <f t="shared" ca="1" si="25"/>
        <v>0</v>
      </c>
      <c r="AE76" s="224">
        <f t="shared" ca="1" si="25"/>
        <v>0</v>
      </c>
      <c r="AF76" s="224">
        <f t="shared" ca="1" si="25"/>
        <v>0</v>
      </c>
      <c r="AG76" s="216" t="str">
        <f t="shared" si="24"/>
        <v>Total ND Stunden gestern</v>
      </c>
      <c r="AH76" s="187"/>
      <c r="AI76" s="212"/>
      <c r="AJ76" s="213"/>
      <c r="AK76" s="208"/>
      <c r="AL76" s="208"/>
      <c r="AM76" s="229">
        <f ca="1">IF(EB.Anwendung&lt;&gt;"",IF(MONTH(Monat.Tag1)=12,0,IF(MONTH(Monat.Tag1)=1,Februar!Monat.NDgesternTag1,IF(MONTH(Monat.Tag1)=2,März!Monat.NDgesternTag1,IF(MONTH(Monat.Tag1)=3,April!Monat.NDgesternTag1,IF(MONTH(Monat.Tag1)=4,Mai!Monat.NDgesternTag1,IF(MONTH(Monat.Tag1)=5,Juni!Monat.NDgesternTag1,IF(MONTH(Monat.Tag1)=6,Juli!Monat.NDgesternTag1,IF(MONTH(Monat.Tag1)=7,August!Monat.NDgesternTag1,IF(MONTH(Monat.Tag1)=8,September!Monat.NDgesternTag1,IF(MONTH(Monat.Tag1)=9,Oktober!Monat.NDgesternTag1,IF(MONTH(Monat.Tag1)=10,November!Monat.NDgesternTag1,IF(MONTH(Monat.Tag1)=11,Dezember!Monat.NDgesternTag1,"")))))))))))),"")</f>
        <v>0</v>
      </c>
      <c r="AN76" s="207"/>
      <c r="AO76" s="208"/>
      <c r="AP76" s="208"/>
      <c r="AQ76" s="118"/>
    </row>
    <row r="77" spans="1:43" s="38" customFormat="1" ht="16.5" hidden="1" customHeight="1" outlineLevel="1" x14ac:dyDescent="0.2">
      <c r="A77" s="214" t="s">
        <v>247</v>
      </c>
      <c r="B77" s="215">
        <f ca="1">B75+IF(B$10=EOMONTH(B$10,0),$AM76,OFFSET(B76,0,1))</f>
        <v>0</v>
      </c>
      <c r="C77" s="215">
        <f t="shared" ref="C77:AF77" ca="1" si="26">C75+IF(C$10=EOMONTH(C$10,0),$AM76,OFFSET(C76,0,1))</f>
        <v>0</v>
      </c>
      <c r="D77" s="215">
        <f t="shared" ca="1" si="26"/>
        <v>0</v>
      </c>
      <c r="E77" s="215">
        <f t="shared" ca="1" si="26"/>
        <v>0</v>
      </c>
      <c r="F77" s="215">
        <f t="shared" ca="1" si="26"/>
        <v>0</v>
      </c>
      <c r="G77" s="215">
        <f t="shared" ca="1" si="26"/>
        <v>0</v>
      </c>
      <c r="H77" s="215">
        <f t="shared" ca="1" si="26"/>
        <v>0</v>
      </c>
      <c r="I77" s="215">
        <f t="shared" ca="1" si="26"/>
        <v>0</v>
      </c>
      <c r="J77" s="215">
        <f t="shared" ca="1" si="26"/>
        <v>0</v>
      </c>
      <c r="K77" s="215">
        <f t="shared" ca="1" si="26"/>
        <v>0</v>
      </c>
      <c r="L77" s="215">
        <f t="shared" ca="1" si="26"/>
        <v>0</v>
      </c>
      <c r="M77" s="215">
        <f t="shared" ca="1" si="26"/>
        <v>0</v>
      </c>
      <c r="N77" s="215">
        <f t="shared" ca="1" si="26"/>
        <v>0</v>
      </c>
      <c r="O77" s="215">
        <f t="shared" ca="1" si="26"/>
        <v>0</v>
      </c>
      <c r="P77" s="215">
        <f t="shared" ca="1" si="26"/>
        <v>0</v>
      </c>
      <c r="Q77" s="215">
        <f t="shared" ca="1" si="26"/>
        <v>0</v>
      </c>
      <c r="R77" s="215">
        <f t="shared" ca="1" si="26"/>
        <v>0</v>
      </c>
      <c r="S77" s="215">
        <f t="shared" ca="1" si="26"/>
        <v>0</v>
      </c>
      <c r="T77" s="215">
        <f t="shared" ca="1" si="26"/>
        <v>0</v>
      </c>
      <c r="U77" s="215">
        <f t="shared" ca="1" si="26"/>
        <v>0</v>
      </c>
      <c r="V77" s="215">
        <f t="shared" ca="1" si="26"/>
        <v>0</v>
      </c>
      <c r="W77" s="215">
        <f t="shared" ca="1" si="26"/>
        <v>0</v>
      </c>
      <c r="X77" s="215">
        <f t="shared" ca="1" si="26"/>
        <v>0</v>
      </c>
      <c r="Y77" s="215">
        <f t="shared" ca="1" si="26"/>
        <v>0</v>
      </c>
      <c r="Z77" s="215">
        <f t="shared" ca="1" si="26"/>
        <v>0</v>
      </c>
      <c r="AA77" s="215">
        <f t="shared" ca="1" si="26"/>
        <v>0</v>
      </c>
      <c r="AB77" s="215">
        <f t="shared" ca="1" si="26"/>
        <v>0</v>
      </c>
      <c r="AC77" s="215">
        <f t="shared" ca="1" si="26"/>
        <v>0</v>
      </c>
      <c r="AD77" s="215">
        <f t="shared" ca="1" si="26"/>
        <v>0</v>
      </c>
      <c r="AE77" s="215">
        <f t="shared" ca="1" si="26"/>
        <v>0</v>
      </c>
      <c r="AF77" s="215">
        <f t="shared" ca="1" si="26"/>
        <v>0</v>
      </c>
      <c r="AG77" s="216" t="str">
        <f t="shared" si="24"/>
        <v>Total ND Stunden</v>
      </c>
      <c r="AH77" s="217"/>
      <c r="AI77" s="218">
        <f ca="1">SUM(B77:AF77)</f>
        <v>0</v>
      </c>
      <c r="AJ77" s="213"/>
      <c r="AK77" s="208"/>
      <c r="AL77" s="208"/>
      <c r="AM77" s="208"/>
      <c r="AN77" s="207"/>
      <c r="AO77" s="208"/>
      <c r="AP77" s="208"/>
      <c r="AQ77" s="118"/>
    </row>
    <row r="78" spans="1:43" s="38" customFormat="1" ht="3.75" hidden="1" customHeight="1" collapsed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1"/>
      <c r="AG78" s="204"/>
      <c r="AH78" s="232"/>
      <c r="AI78" s="221"/>
      <c r="AJ78" s="213"/>
      <c r="AK78" s="208"/>
      <c r="AL78" s="208"/>
      <c r="AM78" s="208"/>
      <c r="AN78" s="207"/>
      <c r="AO78" s="208"/>
      <c r="AP78" s="208"/>
      <c r="AQ78" s="118"/>
    </row>
    <row r="79" spans="1:43" s="38" customFormat="1" ht="15" customHeight="1" outlineLevel="1" x14ac:dyDescent="0.2">
      <c r="A79" s="211" t="s">
        <v>194</v>
      </c>
      <c r="B79" s="278">
        <f t="shared" ref="B79:AF79" ca="1" si="27">IF(AND(T.50_Vetsuisse,B70&gt;24),ROUND(B73*T.50_VetsuisseZZSND*1440,0)/1440,
IF(AND(T.ServiceCenterIrchel,B69&gt;0,B77&gt;=ROUND(1/24*8*1440,0)/1440),ROUND(B77*T.ServiceCenterIrchelZZSND*1440,0)/1440,
IF(AND(T.MedizinischeMikrobiologie,B69&gt;0,B77+IF(B$10=EOMONTH(B$10,0),$AM81,OFFSET(B81,0,1))&gt;=ROUND(1/24*8*1440,0)/1440),ROUND(B77*T.MedizinischeMikrobiologieZZSND*1440,0)/1440,)))</f>
        <v>0</v>
      </c>
      <c r="C79" s="278">
        <f t="shared" ca="1" si="27"/>
        <v>0</v>
      </c>
      <c r="D79" s="278">
        <f t="shared" ca="1" si="27"/>
        <v>0</v>
      </c>
      <c r="E79" s="278">
        <f t="shared" ca="1" si="27"/>
        <v>0</v>
      </c>
      <c r="F79" s="278">
        <f t="shared" ca="1" si="27"/>
        <v>0</v>
      </c>
      <c r="G79" s="278">
        <f t="shared" ca="1" si="27"/>
        <v>0</v>
      </c>
      <c r="H79" s="278">
        <f t="shared" ca="1" si="27"/>
        <v>0</v>
      </c>
      <c r="I79" s="278">
        <f t="shared" ca="1" si="27"/>
        <v>0</v>
      </c>
      <c r="J79" s="278">
        <f t="shared" ca="1" si="27"/>
        <v>0</v>
      </c>
      <c r="K79" s="278">
        <f t="shared" ca="1" si="27"/>
        <v>0</v>
      </c>
      <c r="L79" s="278">
        <f t="shared" ca="1" si="27"/>
        <v>0</v>
      </c>
      <c r="M79" s="278">
        <f t="shared" ca="1" si="27"/>
        <v>0</v>
      </c>
      <c r="N79" s="278">
        <f t="shared" ca="1" si="27"/>
        <v>0</v>
      </c>
      <c r="O79" s="278">
        <f t="shared" ca="1" si="27"/>
        <v>0</v>
      </c>
      <c r="P79" s="278">
        <f t="shared" ca="1" si="27"/>
        <v>0</v>
      </c>
      <c r="Q79" s="278">
        <f t="shared" ca="1" si="27"/>
        <v>0</v>
      </c>
      <c r="R79" s="278">
        <f t="shared" ca="1" si="27"/>
        <v>0</v>
      </c>
      <c r="S79" s="278">
        <f t="shared" ca="1" si="27"/>
        <v>0</v>
      </c>
      <c r="T79" s="278">
        <f t="shared" ca="1" si="27"/>
        <v>0</v>
      </c>
      <c r="U79" s="278">
        <f t="shared" ca="1" si="27"/>
        <v>0</v>
      </c>
      <c r="V79" s="278">
        <f t="shared" ca="1" si="27"/>
        <v>0</v>
      </c>
      <c r="W79" s="278">
        <f t="shared" ca="1" si="27"/>
        <v>0</v>
      </c>
      <c r="X79" s="278">
        <f t="shared" ca="1" si="27"/>
        <v>0</v>
      </c>
      <c r="Y79" s="278">
        <f t="shared" ca="1" si="27"/>
        <v>0</v>
      </c>
      <c r="Z79" s="278">
        <f t="shared" ca="1" si="27"/>
        <v>0</v>
      </c>
      <c r="AA79" s="278">
        <f t="shared" ca="1" si="27"/>
        <v>0</v>
      </c>
      <c r="AB79" s="278">
        <f t="shared" ca="1" si="27"/>
        <v>0</v>
      </c>
      <c r="AC79" s="278">
        <f t="shared" ca="1" si="27"/>
        <v>0</v>
      </c>
      <c r="AD79" s="278">
        <f t="shared" ca="1" si="27"/>
        <v>0</v>
      </c>
      <c r="AE79" s="278">
        <f t="shared" ca="1" si="27"/>
        <v>0</v>
      </c>
      <c r="AF79" s="278">
        <f t="shared" ca="1" si="27"/>
        <v>0</v>
      </c>
      <c r="AG79" s="204" t="str">
        <f t="shared" si="20"/>
        <v>Zeitzuschlag Nachtdienst</v>
      </c>
      <c r="AH79" s="272"/>
      <c r="AI79" s="237">
        <f t="shared" ref="AI79:AI80" ca="1" si="28">SUM(B79:AF79)</f>
        <v>0</v>
      </c>
      <c r="AJ79" s="259"/>
      <c r="AK79" s="223"/>
      <c r="AL79" s="243">
        <f ca="1">IF(EB.Anwendung&lt;&gt;"",IF(MONTH(Monat.Tag1)=1,EB.ZZNd,IF(MONTH(Monat.Tag1)=2,Januar!Monat.ZZNdUe,IF(MONTH(Monat.Tag1)=3,Februar!Monat.ZZNdUe,IF(MONTH(Monat.Tag1)=4,März!Monat.ZZNdUe,IF(MONTH(Monat.Tag1)=5,April!Monat.ZZNdUe,IF(MONTH(Monat.Tag1)=6,Mai!Monat.ZZNdUe,IF(MONTH(Monat.Tag1)=7,Juni!Monat.ZZNdUe,IF(MONTH(Monat.Tag1)=8,Juli!Monat.ZZNdUe,IF(MONTH(Monat.Tag1)=9,August!Monat.ZZNdUe,IF(MONTH(Monat.Tag1)=10,September!Monat.ZZNdUe,IF(MONTH(Monat.Tag1)=11,Oktober!Monat.ZZNdUe,IF(MONTH(Monat.Tag1)=12,November!Monat.ZZNdUe,"")))))))))))),"")</f>
        <v>0</v>
      </c>
      <c r="AM79" s="208"/>
      <c r="AN79" s="244">
        <f ca="1">AI79+AL79-AI71</f>
        <v>0</v>
      </c>
      <c r="AO79" s="244">
        <f ca="1">OFFSET(Jahr.ZZSNDSaldo,-13+MONTH(Monat.Tag1),0,1,1)</f>
        <v>0</v>
      </c>
      <c r="AP79" s="244">
        <f ca="1">Jahr.ZZSNDSaldo</f>
        <v>0</v>
      </c>
      <c r="AQ79" s="118"/>
    </row>
    <row r="80" spans="1:43" s="38" customFormat="1" ht="15" customHeight="1" outlineLevel="1" x14ac:dyDescent="0.2">
      <c r="A80" s="211" t="s">
        <v>196</v>
      </c>
      <c r="B80" s="278" t="str">
        <f t="shared" ref="B80:AF80" si="29">IF(T.50_Vetsuisse,IF(OR(B$12=0,B$11=0,WEEKDAY(B$10,2)&gt;5),0,ROUND((MAX(0,T.Abendbis-MAX(B13,T.Abendab))-MAX(0,T.Abendbis-MAX(T.Abendab,B14))+(B13&gt;B14)*(1+T.Abendab-T.Abendbis)+MAX(0,T.Abendbis-MAX(B15,T.Abendab))-MAX(0,T.Abendbis-MAX(T.Abendab,B16))+(B15&gt;B16)*(1+T.Abendab-T.Abendbis)+MAX(0,T.Abendbis-MAX(B17,T.Abendab))-MAX(0,T.Abendbis-MAX(T.Abendab,B18))+(B17&gt;B18)*(1+T.Abendab-T.Abendbis)+MAX(0,T.Abendbis-MAX(B19,T.Abendab))-MAX(0,T.Abendbis-MAX(T.Abendab,B20))+(B19&gt;B20)*(1+T.Abendab-T.Abendbis)+MAX(0,T.Abendbis-MAX(B21,T.Abendab))-MAX(0,T.Abendbis-MAX(T.Abendab,B22))+(B21&gt;B22)*(1+T.Abendab-T.Abendbis))*1440,0)/1440),"")</f>
        <v/>
      </c>
      <c r="C80" s="278" t="str">
        <f t="shared" si="29"/>
        <v/>
      </c>
      <c r="D80" s="278" t="str">
        <f t="shared" si="29"/>
        <v/>
      </c>
      <c r="E80" s="278" t="str">
        <f t="shared" si="29"/>
        <v/>
      </c>
      <c r="F80" s="278" t="str">
        <f t="shared" si="29"/>
        <v/>
      </c>
      <c r="G80" s="278" t="str">
        <f t="shared" si="29"/>
        <v/>
      </c>
      <c r="H80" s="278" t="str">
        <f t="shared" si="29"/>
        <v/>
      </c>
      <c r="I80" s="278" t="str">
        <f t="shared" si="29"/>
        <v/>
      </c>
      <c r="J80" s="278" t="str">
        <f t="shared" si="29"/>
        <v/>
      </c>
      <c r="K80" s="278" t="str">
        <f t="shared" si="29"/>
        <v/>
      </c>
      <c r="L80" s="278" t="str">
        <f t="shared" si="29"/>
        <v/>
      </c>
      <c r="M80" s="278" t="str">
        <f t="shared" si="29"/>
        <v/>
      </c>
      <c r="N80" s="278" t="str">
        <f t="shared" si="29"/>
        <v/>
      </c>
      <c r="O80" s="278" t="str">
        <f t="shared" si="29"/>
        <v/>
      </c>
      <c r="P80" s="278" t="str">
        <f t="shared" si="29"/>
        <v/>
      </c>
      <c r="Q80" s="278" t="str">
        <f t="shared" si="29"/>
        <v/>
      </c>
      <c r="R80" s="278" t="str">
        <f t="shared" si="29"/>
        <v/>
      </c>
      <c r="S80" s="278" t="str">
        <f t="shared" si="29"/>
        <v/>
      </c>
      <c r="T80" s="278" t="str">
        <f t="shared" si="29"/>
        <v/>
      </c>
      <c r="U80" s="278" t="str">
        <f t="shared" si="29"/>
        <v/>
      </c>
      <c r="V80" s="278" t="str">
        <f t="shared" si="29"/>
        <v/>
      </c>
      <c r="W80" s="278" t="str">
        <f t="shared" si="29"/>
        <v/>
      </c>
      <c r="X80" s="278" t="str">
        <f t="shared" si="29"/>
        <v/>
      </c>
      <c r="Y80" s="278" t="str">
        <f t="shared" si="29"/>
        <v/>
      </c>
      <c r="Z80" s="278" t="str">
        <f t="shared" si="29"/>
        <v/>
      </c>
      <c r="AA80" s="278" t="str">
        <f t="shared" si="29"/>
        <v/>
      </c>
      <c r="AB80" s="278" t="str">
        <f t="shared" si="29"/>
        <v/>
      </c>
      <c r="AC80" s="278" t="str">
        <f t="shared" si="29"/>
        <v/>
      </c>
      <c r="AD80" s="278" t="str">
        <f t="shared" si="29"/>
        <v/>
      </c>
      <c r="AE80" s="278" t="str">
        <f t="shared" si="29"/>
        <v/>
      </c>
      <c r="AF80" s="278" t="str">
        <f t="shared" si="29"/>
        <v/>
      </c>
      <c r="AG80" s="204" t="str">
        <f t="shared" si="20"/>
        <v>Abendarbeit</v>
      </c>
      <c r="AH80" s="272"/>
      <c r="AI80" s="237">
        <f t="shared" si="28"/>
        <v>0</v>
      </c>
      <c r="AJ80" s="259"/>
      <c r="AK80" s="223"/>
      <c r="AL80" s="243">
        <f ca="1">IF(EB.Anwendung&lt;&gt;"",IF(MONTH(Monat.Tag1)=1,0,IF(MONTH(Monat.Tag1)=2,Januar!Monat.AAUeVM,IF(MONTH(Monat.Tag1)=3,Februar!Monat.AAUeVM,IF(MONTH(Monat.Tag1)=4,März!Monat.AAUeVM,IF(MONTH(Monat.Tag1)=5,April!Monat.AAUeVM,IF(MONTH(Monat.Tag1)=6,Mai!Monat.AAUeVM,IF(MONTH(Monat.Tag1)=7,Juni!Monat.AAUeVM,IF(MONTH(Monat.Tag1)=8,Juli!Monat.AAUeVM,IF(MONTH(Monat.Tag1)=9,August!Monat.AAUeVM,IF(MONTH(Monat.Tag1)=10,September!Monat.AAUeVM,IF(MONTH(Monat.Tag1)=11,Oktober!Monat.AAUeVM,IF(MONTH(Monat.Tag1)=12,November!Monat.AAUeVM,"")))))))))))),"")</f>
        <v>0</v>
      </c>
      <c r="AM80" s="208"/>
      <c r="AN80" s="244">
        <f ca="1">AI80+AL80</f>
        <v>0</v>
      </c>
      <c r="AO80" s="207"/>
      <c r="AP80" s="207"/>
      <c r="AQ80" s="118"/>
    </row>
    <row r="81" spans="1:43" s="38" customFormat="1" ht="15" customHeight="1" outlineLevel="1" x14ac:dyDescent="0.2">
      <c r="A81" s="211" t="s">
        <v>78</v>
      </c>
      <c r="B81" s="278">
        <f ca="1">IF(EB.Anwendung&lt;&gt;"",IF(EB.Wochenarbeitszeit=50/24,"",IF(B$12=0,0,
IF(T.MedizinischeMikrobiologie,IF(AND(B$15&gt;0,B$14&gt;0,B$14&lt;T.Nachtbis,B$15&gt;B$14,IF(DAY(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$77)&gt;=6/24),B$15-B$14,0),
IF(OR(WEEKDAY(B$10,2)&gt;5,B$11=0),IF(NOT(B$34=INDEX(T.Pikett.Bereich,1)),1,0),IF(WEEKDAY(B$10,2)&lt;6,IF(AND(OR(B$34=INDEX(T.Pikett.Bereich,2),B$34=INDEX(T.Pikett.Bereich,3)),B$11=1),8/24,0))+IF(WEEKDAY(B$10,2)&lt;6,IF(AND(OR(B$34=INDEX(T.Pikett.Bereich,2),B$34=INDEX(T.Pikett.Bereich,3)),B$11=6/8.4),10/24,0))
+IF(WEEKDAY(B$10,2)&lt;6,IF(AND(OR(B$34=INDEX(T.Pikett.Bereich,2),B$34=INDEX(T.Pikett.Bereich,3)),B$11=0.5),0.5,0))
+IF(AND(B$34=INDEX(T.Pikett.Bereich,4),B$11=6/8.4),0.75,0)+IF(AND(B$34=INDEX(T.Pikett.Bereich,4),B$11=1),16/24,0)
+IF(AND(B$34=INDEX(T.Pikett.Bereich,4),B$11=0.5),20/24,0))))),"")</f>
        <v>0</v>
      </c>
      <c r="C81" s="278">
        <f ca="1">IF(EB.Anwendung&lt;&gt;"",IF(EB.Wochenarbeitszeit=50/24,"",IF(C$12=0,0,
IF(T.MedizinischeMikrobiologie,IF(AND(C$15&gt;0,C$14&gt;0,C$14&lt;T.Nachtbis,C$15&gt;C$14,IF(DAY(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B$77)&gt;=6/24),C$15-C$14,0),
IF(OR(WEEKDAY(C$10,2)&gt;5,C$11=0),IF(NOT(C$34=INDEX(T.Pikett.Bereich,1)),1,0),IF(WEEKDAY(C$10,2)&lt;6,IF(AND(OR(C$34=INDEX(T.Pikett.Bereich,2),C$34=INDEX(T.Pikett.Bereich,3)),C$11=1),8/24,0))+IF(WEEKDAY(C$10,2)&lt;6,IF(AND(OR(C$34=INDEX(T.Pikett.Bereich,2),C$34=INDEX(T.Pikett.Bereich,3)),C$11=6/8.4),10/24,0))
+IF(WEEKDAY(C$10,2)&lt;6,IF(AND(OR(C$34=INDEX(T.Pikett.Bereich,2),C$34=INDEX(T.Pikett.Bereich,3)),C$11=0.5),0.5,0))
+IF(AND(C$34=INDEX(T.Pikett.Bereich,4),C$11=6/8.4),0.75,0)+IF(AND(C$34=INDEX(T.Pikett.Bereich,4),C$11=1),16/24,0)
+IF(AND(C$34=INDEX(T.Pikett.Bereich,4),C$11=0.5),20/24,0))))),"")</f>
        <v>0</v>
      </c>
      <c r="D81" s="278">
        <f ca="1">IF(EB.Anwendung&lt;&gt;"",IF(EB.Wochenarbeitszeit=50/24,"",IF(D$12=0,0,
IF(T.MedizinischeMikrobiologie,IF(AND(D$15&gt;0,D$14&gt;0,D$14&lt;T.Nachtbis,D$15&gt;D$14,IF(DAY(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C$77)&gt;=6/24),D$15-D$14,0),
IF(OR(WEEKDAY(D$10,2)&gt;5,D$11=0),IF(NOT(D$34=INDEX(T.Pikett.Bereich,1)),1,0),IF(WEEKDAY(D$10,2)&lt;6,IF(AND(OR(D$34=INDEX(T.Pikett.Bereich,2),D$34=INDEX(T.Pikett.Bereich,3)),D$11=1),8/24,0))+IF(WEEKDAY(D$10,2)&lt;6,IF(AND(OR(D$34=INDEX(T.Pikett.Bereich,2),D$34=INDEX(T.Pikett.Bereich,3)),D$11=6/8.4),10/24,0))
+IF(WEEKDAY(D$10,2)&lt;6,IF(AND(OR(D$34=INDEX(T.Pikett.Bereich,2),D$34=INDEX(T.Pikett.Bereich,3)),D$11=0.5),0.5,0))
+IF(AND(D$34=INDEX(T.Pikett.Bereich,4),D$11=6/8.4),0.75,0)+IF(AND(D$34=INDEX(T.Pikett.Bereich,4),D$11=1),16/24,0)
+IF(AND(D$34=INDEX(T.Pikett.Bereich,4),D$11=0.5),20/24,0))))),"")</f>
        <v>0</v>
      </c>
      <c r="E81" s="278">
        <f ca="1">IF(EB.Anwendung&lt;&gt;"",IF(EB.Wochenarbeitszeit=50/24,"",IF(E$12=0,0,
IF(T.MedizinischeMikrobiologie,IF(AND(E$15&gt;0,E$14&gt;0,E$14&lt;T.Nachtbis,E$15&gt;E$14,IF(DAY(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D$77)&gt;=6/24),E$15-E$14,0),
IF(OR(WEEKDAY(E$10,2)&gt;5,E$11=0),IF(NOT(E$34=INDEX(T.Pikett.Bereich,1)),1,0),IF(WEEKDAY(E$10,2)&lt;6,IF(AND(OR(E$34=INDEX(T.Pikett.Bereich,2),E$34=INDEX(T.Pikett.Bereich,3)),E$11=1),8/24,0))+IF(WEEKDAY(E$10,2)&lt;6,IF(AND(OR(E$34=INDEX(T.Pikett.Bereich,2),E$34=INDEX(T.Pikett.Bereich,3)),E$11=6/8.4),10/24,0))
+IF(WEEKDAY(E$10,2)&lt;6,IF(AND(OR(E$34=INDEX(T.Pikett.Bereich,2),E$34=INDEX(T.Pikett.Bereich,3)),E$11=0.5),0.5,0))
+IF(AND(E$34=INDEX(T.Pikett.Bereich,4),E$11=6/8.4),0.75,0)+IF(AND(E$34=INDEX(T.Pikett.Bereich,4),E$11=1),16/24,0)
+IF(AND(E$34=INDEX(T.Pikett.Bereich,4),E$11=0.5),20/24,0))))),"")</f>
        <v>0</v>
      </c>
      <c r="F81" s="278">
        <f ca="1">IF(EB.Anwendung&lt;&gt;"",IF(EB.Wochenarbeitszeit=50/24,"",IF(F$12=0,0,
IF(T.MedizinischeMikrobiologie,IF(AND(F$15&gt;0,F$14&gt;0,F$14&lt;T.Nachtbis,F$15&gt;F$14,IF(DAY(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E$77)&gt;=6/24),F$15-F$14,0),
IF(OR(WEEKDAY(F$10,2)&gt;5,F$11=0),IF(NOT(F$34=INDEX(T.Pikett.Bereich,1)),1,0),IF(WEEKDAY(F$10,2)&lt;6,IF(AND(OR(F$34=INDEX(T.Pikett.Bereich,2),F$34=INDEX(T.Pikett.Bereich,3)),F$11=1),8/24,0))+IF(WEEKDAY(F$10,2)&lt;6,IF(AND(OR(F$34=INDEX(T.Pikett.Bereich,2),F$34=INDEX(T.Pikett.Bereich,3)),F$11=6/8.4),10/24,0))
+IF(WEEKDAY(F$10,2)&lt;6,IF(AND(OR(F$34=INDEX(T.Pikett.Bereich,2),F$34=INDEX(T.Pikett.Bereich,3)),F$11=0.5),0.5,0))
+IF(AND(F$34=INDEX(T.Pikett.Bereich,4),F$11=6/8.4),0.75,0)+IF(AND(F$34=INDEX(T.Pikett.Bereich,4),F$11=1),16/24,0)
+IF(AND(F$34=INDEX(T.Pikett.Bereich,4),F$11=0.5),20/24,0))))),"")</f>
        <v>0</v>
      </c>
      <c r="G81" s="278">
        <f ca="1">IF(EB.Anwendung&lt;&gt;"",IF(EB.Wochenarbeitszeit=50/24,"",IF(G$12=0,0,
IF(T.MedizinischeMikrobiologie,IF(AND(G$15&gt;0,G$14&gt;0,G$14&lt;T.Nachtbis,G$15&gt;G$14,IF(DAY(G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F$77)&gt;=6/24),G$15-G$14,0),
IF(OR(WEEKDAY(G$10,2)&gt;5,G$11=0),IF(NOT(G$34=INDEX(T.Pikett.Bereich,1)),1,0),IF(WEEKDAY(G$10,2)&lt;6,IF(AND(OR(G$34=INDEX(T.Pikett.Bereich,2),G$34=INDEX(T.Pikett.Bereich,3)),G$11=1),8/24,0))+IF(WEEKDAY(G$10,2)&lt;6,IF(AND(OR(G$34=INDEX(T.Pikett.Bereich,2),G$34=INDEX(T.Pikett.Bereich,3)),G$11=6/8.4),10/24,0))
+IF(WEEKDAY(G$10,2)&lt;6,IF(AND(OR(G$34=INDEX(T.Pikett.Bereich,2),G$34=INDEX(T.Pikett.Bereich,3)),G$11=0.5),0.5,0))
+IF(AND(G$34=INDEX(T.Pikett.Bereich,4),G$11=6/8.4),0.75,0)+IF(AND(G$34=INDEX(T.Pikett.Bereich,4),G$11=1),16/24,0)
+IF(AND(G$34=INDEX(T.Pikett.Bereich,4),G$11=0.5),20/24,0))))),"")</f>
        <v>0</v>
      </c>
      <c r="H81" s="278">
        <f ca="1">IF(EB.Anwendung&lt;&gt;"",IF(EB.Wochenarbeitszeit=50/24,"",IF(H$12=0,0,
IF(T.MedizinischeMikrobiologie,IF(AND(H$15&gt;0,H$14&gt;0,H$14&lt;T.Nachtbis,H$15&gt;H$14,IF(DAY(H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G$77)&gt;=6/24),H$15-H$14,0),
IF(OR(WEEKDAY(H$10,2)&gt;5,H$11=0),IF(NOT(H$34=INDEX(T.Pikett.Bereich,1)),1,0),IF(WEEKDAY(H$10,2)&lt;6,IF(AND(OR(H$34=INDEX(T.Pikett.Bereich,2),H$34=INDEX(T.Pikett.Bereich,3)),H$11=1),8/24,0))+IF(WEEKDAY(H$10,2)&lt;6,IF(AND(OR(H$34=INDEX(T.Pikett.Bereich,2),H$34=INDEX(T.Pikett.Bereich,3)),H$11=6/8.4),10/24,0))
+IF(WEEKDAY(H$10,2)&lt;6,IF(AND(OR(H$34=INDEX(T.Pikett.Bereich,2),H$34=INDEX(T.Pikett.Bereich,3)),H$11=0.5),0.5,0))
+IF(AND(H$34=INDEX(T.Pikett.Bereich,4),H$11=6/8.4),0.75,0)+IF(AND(H$34=INDEX(T.Pikett.Bereich,4),H$11=1),16/24,0)
+IF(AND(H$34=INDEX(T.Pikett.Bereich,4),H$11=0.5),20/24,0))))),"")</f>
        <v>0</v>
      </c>
      <c r="I81" s="278">
        <f ca="1">IF(EB.Anwendung&lt;&gt;"",IF(EB.Wochenarbeitszeit=50/24,"",IF(I$12=0,0,
IF(T.MedizinischeMikrobiologie,IF(AND(I$15&gt;0,I$14&gt;0,I$14&lt;T.Nachtbis,I$15&gt;I$14,IF(DAY(I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H$77)&gt;=6/24),I$15-I$14,0),
IF(OR(WEEKDAY(I$10,2)&gt;5,I$11=0),IF(NOT(I$34=INDEX(T.Pikett.Bereich,1)),1,0),IF(WEEKDAY(I$10,2)&lt;6,IF(AND(OR(I$34=INDEX(T.Pikett.Bereich,2),I$34=INDEX(T.Pikett.Bereich,3)),I$11=1),8/24,0))+IF(WEEKDAY(I$10,2)&lt;6,IF(AND(OR(I$34=INDEX(T.Pikett.Bereich,2),I$34=INDEX(T.Pikett.Bereich,3)),I$11=6/8.4),10/24,0))
+IF(WEEKDAY(I$10,2)&lt;6,IF(AND(OR(I$34=INDEX(T.Pikett.Bereich,2),I$34=INDEX(T.Pikett.Bereich,3)),I$11=0.5),0.5,0))
+IF(AND(I$34=INDEX(T.Pikett.Bereich,4),I$11=6/8.4),0.75,0)+IF(AND(I$34=INDEX(T.Pikett.Bereich,4),I$11=1),16/24,0)
+IF(AND(I$34=INDEX(T.Pikett.Bereich,4),I$11=0.5),20/24,0))))),"")</f>
        <v>0</v>
      </c>
      <c r="J81" s="278">
        <f ca="1">IF(EB.Anwendung&lt;&gt;"",IF(EB.Wochenarbeitszeit=50/24,"",IF(J$12=0,0,
IF(T.MedizinischeMikrobiologie,IF(AND(J$15&gt;0,J$14&gt;0,J$14&lt;T.Nachtbis,J$15&gt;J$14,IF(DAY(J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I$77)&gt;=6/24),J$15-J$14,0),
IF(OR(WEEKDAY(J$10,2)&gt;5,J$11=0),IF(NOT(J$34=INDEX(T.Pikett.Bereich,1)),1,0),IF(WEEKDAY(J$10,2)&lt;6,IF(AND(OR(J$34=INDEX(T.Pikett.Bereich,2),J$34=INDEX(T.Pikett.Bereich,3)),J$11=1),8/24,0))+IF(WEEKDAY(J$10,2)&lt;6,IF(AND(OR(J$34=INDEX(T.Pikett.Bereich,2),J$34=INDEX(T.Pikett.Bereich,3)),J$11=6/8.4),10/24,0))
+IF(WEEKDAY(J$10,2)&lt;6,IF(AND(OR(J$34=INDEX(T.Pikett.Bereich,2),J$34=INDEX(T.Pikett.Bereich,3)),J$11=0.5),0.5,0))
+IF(AND(J$34=INDEX(T.Pikett.Bereich,4),J$11=6/8.4),0.75,0)+IF(AND(J$34=INDEX(T.Pikett.Bereich,4),J$11=1),16/24,0)
+IF(AND(J$34=INDEX(T.Pikett.Bereich,4),J$11=0.5),20/24,0))))),"")</f>
        <v>0</v>
      </c>
      <c r="K81" s="278">
        <f ca="1">IF(EB.Anwendung&lt;&gt;"",IF(EB.Wochenarbeitszeit=50/24,"",IF(K$12=0,0,
IF(T.MedizinischeMikrobiologie,IF(AND(K$15&gt;0,K$14&gt;0,K$14&lt;T.Nachtbis,K$15&gt;K$14,IF(DAY(K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J$77)&gt;=6/24),K$15-K$14,0),
IF(OR(WEEKDAY(K$10,2)&gt;5,K$11=0),IF(NOT(K$34=INDEX(T.Pikett.Bereich,1)),1,0),IF(WEEKDAY(K$10,2)&lt;6,IF(AND(OR(K$34=INDEX(T.Pikett.Bereich,2),K$34=INDEX(T.Pikett.Bereich,3)),K$11=1),8/24,0))+IF(WEEKDAY(K$10,2)&lt;6,IF(AND(OR(K$34=INDEX(T.Pikett.Bereich,2),K$34=INDEX(T.Pikett.Bereich,3)),K$11=6/8.4),10/24,0))
+IF(WEEKDAY(K$10,2)&lt;6,IF(AND(OR(K$34=INDEX(T.Pikett.Bereich,2),K$34=INDEX(T.Pikett.Bereich,3)),K$11=0.5),0.5,0))
+IF(AND(K$34=INDEX(T.Pikett.Bereich,4),K$11=6/8.4),0.75,0)+IF(AND(K$34=INDEX(T.Pikett.Bereich,4),K$11=1),16/24,0)
+IF(AND(K$34=INDEX(T.Pikett.Bereich,4),K$11=0.5),20/24,0))))),"")</f>
        <v>0</v>
      </c>
      <c r="L81" s="278">
        <f ca="1">IF(EB.Anwendung&lt;&gt;"",IF(EB.Wochenarbeitszeit=50/24,"",IF(L$12=0,0,
IF(T.MedizinischeMikrobiologie,IF(AND(L$15&gt;0,L$14&gt;0,L$14&lt;T.Nachtbis,L$15&gt;L$14,IF(DAY(L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K$77)&gt;=6/24),L$15-L$14,0),
IF(OR(WEEKDAY(L$10,2)&gt;5,L$11=0),IF(NOT(L$34=INDEX(T.Pikett.Bereich,1)),1,0),IF(WEEKDAY(L$10,2)&lt;6,IF(AND(OR(L$34=INDEX(T.Pikett.Bereich,2),L$34=INDEX(T.Pikett.Bereich,3)),L$11=1),8/24,0))+IF(WEEKDAY(L$10,2)&lt;6,IF(AND(OR(L$34=INDEX(T.Pikett.Bereich,2),L$34=INDEX(T.Pikett.Bereich,3)),L$11=6/8.4),10/24,0))
+IF(WEEKDAY(L$10,2)&lt;6,IF(AND(OR(L$34=INDEX(T.Pikett.Bereich,2),L$34=INDEX(T.Pikett.Bereich,3)),L$11=0.5),0.5,0))
+IF(AND(L$34=INDEX(T.Pikett.Bereich,4),L$11=6/8.4),0.75,0)+IF(AND(L$34=INDEX(T.Pikett.Bereich,4),L$11=1),16/24,0)
+IF(AND(L$34=INDEX(T.Pikett.Bereich,4),L$11=0.5),20/24,0))))),"")</f>
        <v>0</v>
      </c>
      <c r="M81" s="278">
        <f ca="1">IF(EB.Anwendung&lt;&gt;"",IF(EB.Wochenarbeitszeit=50/24,"",IF(M$12=0,0,
IF(T.MedizinischeMikrobiologie,IF(AND(M$15&gt;0,M$14&gt;0,M$14&lt;T.Nachtbis,M$15&gt;M$14,IF(DAY(M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L$77)&gt;=6/24),M$15-M$14,0),
IF(OR(WEEKDAY(M$10,2)&gt;5,M$11=0),IF(NOT(M$34=INDEX(T.Pikett.Bereich,1)),1,0),IF(WEEKDAY(M$10,2)&lt;6,IF(AND(OR(M$34=INDEX(T.Pikett.Bereich,2),M$34=INDEX(T.Pikett.Bereich,3)),M$11=1),8/24,0))+IF(WEEKDAY(M$10,2)&lt;6,IF(AND(OR(M$34=INDEX(T.Pikett.Bereich,2),M$34=INDEX(T.Pikett.Bereich,3)),M$11=6/8.4),10/24,0))
+IF(WEEKDAY(M$10,2)&lt;6,IF(AND(OR(M$34=INDEX(T.Pikett.Bereich,2),M$34=INDEX(T.Pikett.Bereich,3)),M$11=0.5),0.5,0))
+IF(AND(M$34=INDEX(T.Pikett.Bereich,4),M$11=6/8.4),0.75,0)+IF(AND(M$34=INDEX(T.Pikett.Bereich,4),M$11=1),16/24,0)
+IF(AND(M$34=INDEX(T.Pikett.Bereich,4),M$11=0.5),20/24,0))))),"")</f>
        <v>0</v>
      </c>
      <c r="N81" s="278">
        <f ca="1">IF(EB.Anwendung&lt;&gt;"",IF(EB.Wochenarbeitszeit=50/24,"",IF(N$12=0,0,
IF(T.MedizinischeMikrobiologie,IF(AND(N$15&gt;0,N$14&gt;0,N$14&lt;T.Nachtbis,N$15&gt;N$14,IF(DAY(N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M$77)&gt;=6/24),N$15-N$14,0),
IF(OR(WEEKDAY(N$10,2)&gt;5,N$11=0),IF(NOT(N$34=INDEX(T.Pikett.Bereich,1)),1,0),IF(WEEKDAY(N$10,2)&lt;6,IF(AND(OR(N$34=INDEX(T.Pikett.Bereich,2),N$34=INDEX(T.Pikett.Bereich,3)),N$11=1),8/24,0))+IF(WEEKDAY(N$10,2)&lt;6,IF(AND(OR(N$34=INDEX(T.Pikett.Bereich,2),N$34=INDEX(T.Pikett.Bereich,3)),N$11=6/8.4),10/24,0))
+IF(WEEKDAY(N$10,2)&lt;6,IF(AND(OR(N$34=INDEX(T.Pikett.Bereich,2),N$34=INDEX(T.Pikett.Bereich,3)),N$11=0.5),0.5,0))
+IF(AND(N$34=INDEX(T.Pikett.Bereich,4),N$11=6/8.4),0.75,0)+IF(AND(N$34=INDEX(T.Pikett.Bereich,4),N$11=1),16/24,0)
+IF(AND(N$34=INDEX(T.Pikett.Bereich,4),N$11=0.5),20/24,0))))),"")</f>
        <v>0</v>
      </c>
      <c r="O81" s="278">
        <f ca="1">IF(EB.Anwendung&lt;&gt;"",IF(EB.Wochenarbeitszeit=50/24,"",IF(O$12=0,0,
IF(T.MedizinischeMikrobiologie,IF(AND(O$15&gt;0,O$14&gt;0,O$14&lt;T.Nachtbis,O$15&gt;O$14,IF(DAY(O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N$77)&gt;=6/24),O$15-O$14,0),
IF(OR(WEEKDAY(O$10,2)&gt;5,O$11=0),IF(NOT(O$34=INDEX(T.Pikett.Bereich,1)),1,0),IF(WEEKDAY(O$10,2)&lt;6,IF(AND(OR(O$34=INDEX(T.Pikett.Bereich,2),O$34=INDEX(T.Pikett.Bereich,3)),O$11=1),8/24,0))+IF(WEEKDAY(O$10,2)&lt;6,IF(AND(OR(O$34=INDEX(T.Pikett.Bereich,2),O$34=INDEX(T.Pikett.Bereich,3)),O$11=6/8.4),10/24,0))
+IF(WEEKDAY(O$10,2)&lt;6,IF(AND(OR(O$34=INDEX(T.Pikett.Bereich,2),O$34=INDEX(T.Pikett.Bereich,3)),O$11=0.5),0.5,0))
+IF(AND(O$34=INDEX(T.Pikett.Bereich,4),O$11=6/8.4),0.75,0)+IF(AND(O$34=INDEX(T.Pikett.Bereich,4),O$11=1),16/24,0)
+IF(AND(O$34=INDEX(T.Pikett.Bereich,4),O$11=0.5),20/24,0))))),"")</f>
        <v>0</v>
      </c>
      <c r="P81" s="278">
        <f ca="1">IF(EB.Anwendung&lt;&gt;"",IF(EB.Wochenarbeitszeit=50/24,"",IF(P$12=0,0,
IF(T.MedizinischeMikrobiologie,IF(AND(P$15&gt;0,P$14&gt;0,P$14&lt;T.Nachtbis,P$15&gt;P$14,IF(DAY(P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O$77)&gt;=6/24),P$15-P$14,0),
IF(OR(WEEKDAY(P$10,2)&gt;5,P$11=0),IF(NOT(P$34=INDEX(T.Pikett.Bereich,1)),1,0),IF(WEEKDAY(P$10,2)&lt;6,IF(AND(OR(P$34=INDEX(T.Pikett.Bereich,2),P$34=INDEX(T.Pikett.Bereich,3)),P$11=1),8/24,0))+IF(WEEKDAY(P$10,2)&lt;6,IF(AND(OR(P$34=INDEX(T.Pikett.Bereich,2),P$34=INDEX(T.Pikett.Bereich,3)),P$11=6/8.4),10/24,0))
+IF(WEEKDAY(P$10,2)&lt;6,IF(AND(OR(P$34=INDEX(T.Pikett.Bereich,2),P$34=INDEX(T.Pikett.Bereich,3)),P$11=0.5),0.5,0))
+IF(AND(P$34=INDEX(T.Pikett.Bereich,4),P$11=6/8.4),0.75,0)+IF(AND(P$34=INDEX(T.Pikett.Bereich,4),P$11=1),16/24,0)
+IF(AND(P$34=INDEX(T.Pikett.Bereich,4),P$11=0.5),20/24,0))))),"")</f>
        <v>0</v>
      </c>
      <c r="Q81" s="278">
        <f ca="1">IF(EB.Anwendung&lt;&gt;"",IF(EB.Wochenarbeitszeit=50/24,"",IF(Q$12=0,0,
IF(T.MedizinischeMikrobiologie,IF(AND(Q$15&gt;0,Q$14&gt;0,Q$14&lt;T.Nachtbis,Q$15&gt;Q$14,IF(DAY(Q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P$77)&gt;=6/24),Q$15-Q$14,0),
IF(OR(WEEKDAY(Q$10,2)&gt;5,Q$11=0),IF(NOT(Q$34=INDEX(T.Pikett.Bereich,1)),1,0),IF(WEEKDAY(Q$10,2)&lt;6,IF(AND(OR(Q$34=INDEX(T.Pikett.Bereich,2),Q$34=INDEX(T.Pikett.Bereich,3)),Q$11=1),8/24,0))+IF(WEEKDAY(Q$10,2)&lt;6,IF(AND(OR(Q$34=INDEX(T.Pikett.Bereich,2),Q$34=INDEX(T.Pikett.Bereich,3)),Q$11=6/8.4),10/24,0))
+IF(WEEKDAY(Q$10,2)&lt;6,IF(AND(OR(Q$34=INDEX(T.Pikett.Bereich,2),Q$34=INDEX(T.Pikett.Bereich,3)),Q$11=0.5),0.5,0))
+IF(AND(Q$34=INDEX(T.Pikett.Bereich,4),Q$11=6/8.4),0.75,0)+IF(AND(Q$34=INDEX(T.Pikett.Bereich,4),Q$11=1),16/24,0)
+IF(AND(Q$34=INDEX(T.Pikett.Bereich,4),Q$11=0.5),20/24,0))))),"")</f>
        <v>0</v>
      </c>
      <c r="R81" s="278">
        <f ca="1">IF(EB.Anwendung&lt;&gt;"",IF(EB.Wochenarbeitszeit=50/24,"",IF(R$12=0,0,
IF(T.MedizinischeMikrobiologie,IF(AND(R$15&gt;0,R$14&gt;0,R$14&lt;T.Nachtbis,R$15&gt;R$14,IF(DAY(R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Q$77)&gt;=6/24),R$15-R$14,0),
IF(OR(WEEKDAY(R$10,2)&gt;5,R$11=0),IF(NOT(R$34=INDEX(T.Pikett.Bereich,1)),1,0),IF(WEEKDAY(R$10,2)&lt;6,IF(AND(OR(R$34=INDEX(T.Pikett.Bereich,2),R$34=INDEX(T.Pikett.Bereich,3)),R$11=1),8/24,0))+IF(WEEKDAY(R$10,2)&lt;6,IF(AND(OR(R$34=INDEX(T.Pikett.Bereich,2),R$34=INDEX(T.Pikett.Bereich,3)),R$11=6/8.4),10/24,0))
+IF(WEEKDAY(R$10,2)&lt;6,IF(AND(OR(R$34=INDEX(T.Pikett.Bereich,2),R$34=INDEX(T.Pikett.Bereich,3)),R$11=0.5),0.5,0))
+IF(AND(R$34=INDEX(T.Pikett.Bereich,4),R$11=6/8.4),0.75,0)+IF(AND(R$34=INDEX(T.Pikett.Bereich,4),R$11=1),16/24,0)
+IF(AND(R$34=INDEX(T.Pikett.Bereich,4),R$11=0.5),20/24,0))))),"")</f>
        <v>0</v>
      </c>
      <c r="S81" s="278">
        <f ca="1">IF(EB.Anwendung&lt;&gt;"",IF(EB.Wochenarbeitszeit=50/24,"",IF(S$12=0,0,
IF(T.MedizinischeMikrobiologie,IF(AND(S$15&gt;0,S$14&gt;0,S$14&lt;T.Nachtbis,S$15&gt;S$14,IF(DAY(S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R$77)&gt;=6/24),S$15-S$14,0),
IF(OR(WEEKDAY(S$10,2)&gt;5,S$11=0),IF(NOT(S$34=INDEX(T.Pikett.Bereich,1)),1,0),IF(WEEKDAY(S$10,2)&lt;6,IF(AND(OR(S$34=INDEX(T.Pikett.Bereich,2),S$34=INDEX(T.Pikett.Bereich,3)),S$11=1),8/24,0))+IF(WEEKDAY(S$10,2)&lt;6,IF(AND(OR(S$34=INDEX(T.Pikett.Bereich,2),S$34=INDEX(T.Pikett.Bereich,3)),S$11=6/8.4),10/24,0))
+IF(WEEKDAY(S$10,2)&lt;6,IF(AND(OR(S$34=INDEX(T.Pikett.Bereich,2),S$34=INDEX(T.Pikett.Bereich,3)),S$11=0.5),0.5,0))
+IF(AND(S$34=INDEX(T.Pikett.Bereich,4),S$11=6/8.4),0.75,0)+IF(AND(S$34=INDEX(T.Pikett.Bereich,4),S$11=1),16/24,0)
+IF(AND(S$34=INDEX(T.Pikett.Bereich,4),S$11=0.5),20/24,0))))),"")</f>
        <v>0</v>
      </c>
      <c r="T81" s="278">
        <f ca="1">IF(EB.Anwendung&lt;&gt;"",IF(EB.Wochenarbeitszeit=50/24,"",IF(T$12=0,0,
IF(T.MedizinischeMikrobiologie,IF(AND(T$15&gt;0,T$14&gt;0,T$14&lt;T.Nachtbis,T$15&gt;T$14,IF(DAY(T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S$77)&gt;=6/24),T$15-T$14,0),
IF(OR(WEEKDAY(T$10,2)&gt;5,T$11=0),IF(NOT(T$34=INDEX(T.Pikett.Bereich,1)),1,0),IF(WEEKDAY(T$10,2)&lt;6,IF(AND(OR(T$34=INDEX(T.Pikett.Bereich,2),T$34=INDEX(T.Pikett.Bereich,3)),T$11=1),8/24,0))+IF(WEEKDAY(T$10,2)&lt;6,IF(AND(OR(T$34=INDEX(T.Pikett.Bereich,2),T$34=INDEX(T.Pikett.Bereich,3)),T$11=6/8.4),10/24,0))
+IF(WEEKDAY(T$10,2)&lt;6,IF(AND(OR(T$34=INDEX(T.Pikett.Bereich,2),T$34=INDEX(T.Pikett.Bereich,3)),T$11=0.5),0.5,0))
+IF(AND(T$34=INDEX(T.Pikett.Bereich,4),T$11=6/8.4),0.75,0)+IF(AND(T$34=INDEX(T.Pikett.Bereich,4),T$11=1),16/24,0)
+IF(AND(T$34=INDEX(T.Pikett.Bereich,4),T$11=0.5),20/24,0))))),"")</f>
        <v>0</v>
      </c>
      <c r="U81" s="278">
        <f ca="1">IF(EB.Anwendung&lt;&gt;"",IF(EB.Wochenarbeitszeit=50/24,"",IF(U$12=0,0,
IF(T.MedizinischeMikrobiologie,IF(AND(U$15&gt;0,U$14&gt;0,U$14&lt;T.Nachtbis,U$15&gt;U$14,IF(DAY(U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T$77)&gt;=6/24),U$15-U$14,0),
IF(OR(WEEKDAY(U$10,2)&gt;5,U$11=0),IF(NOT(U$34=INDEX(T.Pikett.Bereich,1)),1,0),IF(WEEKDAY(U$10,2)&lt;6,IF(AND(OR(U$34=INDEX(T.Pikett.Bereich,2),U$34=INDEX(T.Pikett.Bereich,3)),U$11=1),8/24,0))+IF(WEEKDAY(U$10,2)&lt;6,IF(AND(OR(U$34=INDEX(T.Pikett.Bereich,2),U$34=INDEX(T.Pikett.Bereich,3)),U$11=6/8.4),10/24,0))
+IF(WEEKDAY(U$10,2)&lt;6,IF(AND(OR(U$34=INDEX(T.Pikett.Bereich,2),U$34=INDEX(T.Pikett.Bereich,3)),U$11=0.5),0.5,0))
+IF(AND(U$34=INDEX(T.Pikett.Bereich,4),U$11=6/8.4),0.75,0)+IF(AND(U$34=INDEX(T.Pikett.Bereich,4),U$11=1),16/24,0)
+IF(AND(U$34=INDEX(T.Pikett.Bereich,4),U$11=0.5),20/24,0))))),"")</f>
        <v>0</v>
      </c>
      <c r="V81" s="278">
        <f ca="1">IF(EB.Anwendung&lt;&gt;"",IF(EB.Wochenarbeitszeit=50/24,"",IF(V$12=0,0,
IF(T.MedizinischeMikrobiologie,IF(AND(V$15&gt;0,V$14&gt;0,V$14&lt;T.Nachtbis,V$15&gt;V$14,IF(DAY(V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U$77)&gt;=6/24),V$15-V$14,0),
IF(OR(WEEKDAY(V$10,2)&gt;5,V$11=0),IF(NOT(V$34=INDEX(T.Pikett.Bereich,1)),1,0),IF(WEEKDAY(V$10,2)&lt;6,IF(AND(OR(V$34=INDEX(T.Pikett.Bereich,2),V$34=INDEX(T.Pikett.Bereich,3)),V$11=1),8/24,0))+IF(WEEKDAY(V$10,2)&lt;6,IF(AND(OR(V$34=INDEX(T.Pikett.Bereich,2),V$34=INDEX(T.Pikett.Bereich,3)),V$11=6/8.4),10/24,0))
+IF(WEEKDAY(V$10,2)&lt;6,IF(AND(OR(V$34=INDEX(T.Pikett.Bereich,2),V$34=INDEX(T.Pikett.Bereich,3)),V$11=0.5),0.5,0))
+IF(AND(V$34=INDEX(T.Pikett.Bereich,4),V$11=6/8.4),0.75,0)+IF(AND(V$34=INDEX(T.Pikett.Bereich,4),V$11=1),16/24,0)
+IF(AND(V$34=INDEX(T.Pikett.Bereich,4),V$11=0.5),20/24,0))))),"")</f>
        <v>0</v>
      </c>
      <c r="W81" s="278">
        <f ca="1">IF(EB.Anwendung&lt;&gt;"",IF(EB.Wochenarbeitszeit=50/24,"",IF(W$12=0,0,
IF(T.MedizinischeMikrobiologie,IF(AND(W$15&gt;0,W$14&gt;0,W$14&lt;T.Nachtbis,W$15&gt;W$14,IF(DAY(W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V$77)&gt;=6/24),W$15-W$14,0),
IF(OR(WEEKDAY(W$10,2)&gt;5,W$11=0),IF(NOT(W$34=INDEX(T.Pikett.Bereich,1)),1,0),IF(WEEKDAY(W$10,2)&lt;6,IF(AND(OR(W$34=INDEX(T.Pikett.Bereich,2),W$34=INDEX(T.Pikett.Bereich,3)),W$11=1),8/24,0))+IF(WEEKDAY(W$10,2)&lt;6,IF(AND(OR(W$34=INDEX(T.Pikett.Bereich,2),W$34=INDEX(T.Pikett.Bereich,3)),W$11=6/8.4),10/24,0))
+IF(WEEKDAY(W$10,2)&lt;6,IF(AND(OR(W$34=INDEX(T.Pikett.Bereich,2),W$34=INDEX(T.Pikett.Bereich,3)),W$11=0.5),0.5,0))
+IF(AND(W$34=INDEX(T.Pikett.Bereich,4),W$11=6/8.4),0.75,0)+IF(AND(W$34=INDEX(T.Pikett.Bereich,4),W$11=1),16/24,0)
+IF(AND(W$34=INDEX(T.Pikett.Bereich,4),W$11=0.5),20/24,0))))),"")</f>
        <v>0</v>
      </c>
      <c r="X81" s="278">
        <f ca="1">IF(EB.Anwendung&lt;&gt;"",IF(EB.Wochenarbeitszeit=50/24,"",IF(X$12=0,0,
IF(T.MedizinischeMikrobiologie,IF(AND(X$15&gt;0,X$14&gt;0,X$14&lt;T.Nachtbis,X$15&gt;X$14,IF(DAY(X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W$77)&gt;=6/24),X$15-X$14,0),
IF(OR(WEEKDAY(X$10,2)&gt;5,X$11=0),IF(NOT(X$34=INDEX(T.Pikett.Bereich,1)),1,0),IF(WEEKDAY(X$10,2)&lt;6,IF(AND(OR(X$34=INDEX(T.Pikett.Bereich,2),X$34=INDEX(T.Pikett.Bereich,3)),X$11=1),8/24,0))+IF(WEEKDAY(X$10,2)&lt;6,IF(AND(OR(X$34=INDEX(T.Pikett.Bereich,2),X$34=INDEX(T.Pikett.Bereich,3)),X$11=6/8.4),10/24,0))
+IF(WEEKDAY(X$10,2)&lt;6,IF(AND(OR(X$34=INDEX(T.Pikett.Bereich,2),X$34=INDEX(T.Pikett.Bereich,3)),X$11=0.5),0.5,0))
+IF(AND(X$34=INDEX(T.Pikett.Bereich,4),X$11=6/8.4),0.75,0)+IF(AND(X$34=INDEX(T.Pikett.Bereich,4),X$11=1),16/24,0)
+IF(AND(X$34=INDEX(T.Pikett.Bereich,4),X$11=0.5),20/24,0))))),"")</f>
        <v>0</v>
      </c>
      <c r="Y81" s="278">
        <f ca="1">IF(EB.Anwendung&lt;&gt;"",IF(EB.Wochenarbeitszeit=50/24,"",IF(Y$12=0,0,
IF(T.MedizinischeMikrobiologie,IF(AND(Y$15&gt;0,Y$14&gt;0,Y$14&lt;T.Nachtbis,Y$15&gt;Y$14,IF(DAY(Y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X$77)&gt;=6/24),Y$15-Y$14,0),
IF(OR(WEEKDAY(Y$10,2)&gt;5,Y$11=0),IF(NOT(Y$34=INDEX(T.Pikett.Bereich,1)),1,0),IF(WEEKDAY(Y$10,2)&lt;6,IF(AND(OR(Y$34=INDEX(T.Pikett.Bereich,2),Y$34=INDEX(T.Pikett.Bereich,3)),Y$11=1),8/24,0))+IF(WEEKDAY(Y$10,2)&lt;6,IF(AND(OR(Y$34=INDEX(T.Pikett.Bereich,2),Y$34=INDEX(T.Pikett.Bereich,3)),Y$11=6/8.4),10/24,0))
+IF(WEEKDAY(Y$10,2)&lt;6,IF(AND(OR(Y$34=INDEX(T.Pikett.Bereich,2),Y$34=INDEX(T.Pikett.Bereich,3)),Y$11=0.5),0.5,0))
+IF(AND(Y$34=INDEX(T.Pikett.Bereich,4),Y$11=6/8.4),0.75,0)+IF(AND(Y$34=INDEX(T.Pikett.Bereich,4),Y$11=1),16/24,0)
+IF(AND(Y$34=INDEX(T.Pikett.Bereich,4),Y$11=0.5),20/24,0))))),"")</f>
        <v>0</v>
      </c>
      <c r="Z81" s="278">
        <f ca="1">IF(EB.Anwendung&lt;&gt;"",IF(EB.Wochenarbeitszeit=50/24,"",IF(Z$12=0,0,
IF(T.MedizinischeMikrobiologie,IF(AND(Z$15&gt;0,Z$14&gt;0,Z$14&lt;T.Nachtbis,Z$15&gt;Z$14,IF(DAY(Z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Y$77)&gt;=6/24),Z$15-Z$14,0),
IF(OR(WEEKDAY(Z$10,2)&gt;5,Z$11=0),IF(NOT(Z$34=INDEX(T.Pikett.Bereich,1)),1,0),IF(WEEKDAY(Z$10,2)&lt;6,IF(AND(OR(Z$34=INDEX(T.Pikett.Bereich,2),Z$34=INDEX(T.Pikett.Bereich,3)),Z$11=1),8/24,0))+IF(WEEKDAY(Z$10,2)&lt;6,IF(AND(OR(Z$34=INDEX(T.Pikett.Bereich,2),Z$34=INDEX(T.Pikett.Bereich,3)),Z$11=6/8.4),10/24,0))
+IF(WEEKDAY(Z$10,2)&lt;6,IF(AND(OR(Z$34=INDEX(T.Pikett.Bereich,2),Z$34=INDEX(T.Pikett.Bereich,3)),Z$11=0.5),0.5,0))
+IF(AND(Z$34=INDEX(T.Pikett.Bereich,4),Z$11=6/8.4),0.75,0)+IF(AND(Z$34=INDEX(T.Pikett.Bereich,4),Z$11=1),16/24,0)
+IF(AND(Z$34=INDEX(T.Pikett.Bereich,4),Z$11=0.5),20/24,0))))),"")</f>
        <v>0</v>
      </c>
      <c r="AA81" s="278">
        <f ca="1">IF(EB.Anwendung&lt;&gt;"",IF(EB.Wochenarbeitszeit=50/24,"",IF(AA$12=0,0,
IF(T.MedizinischeMikrobiologie,IF(AND(AA$15&gt;0,AA$14&gt;0,AA$14&lt;T.Nachtbis,AA$15&gt;AA$14,IF(DAY(AA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Z$77)&gt;=6/24),AA$15-AA$14,0),
IF(OR(WEEKDAY(AA$10,2)&gt;5,AA$11=0),IF(NOT(AA$34=INDEX(T.Pikett.Bereich,1)),1,0),IF(WEEKDAY(AA$10,2)&lt;6,IF(AND(OR(AA$34=INDEX(T.Pikett.Bereich,2),AA$34=INDEX(T.Pikett.Bereich,3)),AA$11=1),8/24,0))+IF(WEEKDAY(AA$10,2)&lt;6,IF(AND(OR(AA$34=INDEX(T.Pikett.Bereich,2),AA$34=INDEX(T.Pikett.Bereich,3)),AA$11=6/8.4),10/24,0))
+IF(WEEKDAY(AA$10,2)&lt;6,IF(AND(OR(AA$34=INDEX(T.Pikett.Bereich,2),AA$34=INDEX(T.Pikett.Bereich,3)),AA$11=0.5),0.5,0))
+IF(AND(AA$34=INDEX(T.Pikett.Bereich,4),AA$11=6/8.4),0.75,0)+IF(AND(AA$34=INDEX(T.Pikett.Bereich,4),AA$11=1),16/24,0)
+IF(AND(AA$34=INDEX(T.Pikett.Bereich,4),AA$11=0.5),20/24,0))))),"")</f>
        <v>0</v>
      </c>
      <c r="AB81" s="278">
        <f ca="1">IF(EB.Anwendung&lt;&gt;"",IF(EB.Wochenarbeitszeit=50/24,"",IF(AB$12=0,0,
IF(T.MedizinischeMikrobiologie,IF(AND(AB$15&gt;0,AB$14&gt;0,AB$14&lt;T.Nachtbis,AB$15&gt;AB$14,IF(DAY(AB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A$77)&gt;=6/24),AB$15-AB$14,0),
IF(OR(WEEKDAY(AB$10,2)&gt;5,AB$11=0),IF(NOT(AB$34=INDEX(T.Pikett.Bereich,1)),1,0),IF(WEEKDAY(AB$10,2)&lt;6,IF(AND(OR(AB$34=INDEX(T.Pikett.Bereich,2),AB$34=INDEX(T.Pikett.Bereich,3)),AB$11=1),8/24,0))+IF(WEEKDAY(AB$10,2)&lt;6,IF(AND(OR(AB$34=INDEX(T.Pikett.Bereich,2),AB$34=INDEX(T.Pikett.Bereich,3)),AB$11=6/8.4),10/24,0))
+IF(WEEKDAY(AB$10,2)&lt;6,IF(AND(OR(AB$34=INDEX(T.Pikett.Bereich,2),AB$34=INDEX(T.Pikett.Bereich,3)),AB$11=0.5),0.5,0))
+IF(AND(AB$34=INDEX(T.Pikett.Bereich,4),AB$11=6/8.4),0.75,0)+IF(AND(AB$34=INDEX(T.Pikett.Bereich,4),AB$11=1),16/24,0)
+IF(AND(AB$34=INDEX(T.Pikett.Bereich,4),AB$11=0.5),20/24,0))))),"")</f>
        <v>0</v>
      </c>
      <c r="AC81" s="278">
        <f ca="1">IF(EB.Anwendung&lt;&gt;"",IF(EB.Wochenarbeitszeit=50/24,"",IF(AC$12=0,0,
IF(T.MedizinischeMikrobiologie,IF(AND(AC$15&gt;0,AC$14&gt;0,AC$14&lt;T.Nachtbis,AC$15&gt;AC$14,IF(DAY(AC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B$77)&gt;=6/24),AC$15-AC$14,0),
IF(OR(WEEKDAY(AC$10,2)&gt;5,AC$11=0),IF(NOT(AC$34=INDEX(T.Pikett.Bereich,1)),1,0),IF(WEEKDAY(AC$10,2)&lt;6,IF(AND(OR(AC$34=INDEX(T.Pikett.Bereich,2),AC$34=INDEX(T.Pikett.Bereich,3)),AC$11=1),8/24,0))+IF(WEEKDAY(AC$10,2)&lt;6,IF(AND(OR(AC$34=INDEX(T.Pikett.Bereich,2),AC$34=INDEX(T.Pikett.Bereich,3)),AC$11=6/8.4),10/24,0))
+IF(WEEKDAY(AC$10,2)&lt;6,IF(AND(OR(AC$34=INDEX(T.Pikett.Bereich,2),AC$34=INDEX(T.Pikett.Bereich,3)),AC$11=0.5),0.5,0))
+IF(AND(AC$34=INDEX(T.Pikett.Bereich,4),AC$11=6/8.4),0.75,0)+IF(AND(AC$34=INDEX(T.Pikett.Bereich,4),AC$11=1),16/24,0)
+IF(AND(AC$34=INDEX(T.Pikett.Bereich,4),AC$11=0.5),20/24,0))))),"")</f>
        <v>0</v>
      </c>
      <c r="AD81" s="278">
        <f ca="1">IF(EB.Anwendung&lt;&gt;"",IF(EB.Wochenarbeitszeit=50/24,"",IF(AD$12=0,0,
IF(T.MedizinischeMikrobiologie,IF(AND(AD$15&gt;0,AD$14&gt;0,AD$14&lt;T.Nachtbis,AD$15&gt;AD$14,IF(DAY(AD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C$77)&gt;=6/24),AD$15-AD$14,0),
IF(OR(WEEKDAY(AD$10,2)&gt;5,AD$11=0),IF(NOT(AD$34=INDEX(T.Pikett.Bereich,1)),1,0),IF(WEEKDAY(AD$10,2)&lt;6,IF(AND(OR(AD$34=INDEX(T.Pikett.Bereich,2),AD$34=INDEX(T.Pikett.Bereich,3)),AD$11=1),8/24,0))+IF(WEEKDAY(AD$10,2)&lt;6,IF(AND(OR(AD$34=INDEX(T.Pikett.Bereich,2),AD$34=INDEX(T.Pikett.Bereich,3)),AD$11=6/8.4),10/24,0))
+IF(WEEKDAY(AD$10,2)&lt;6,IF(AND(OR(AD$34=INDEX(T.Pikett.Bereich,2),AD$34=INDEX(T.Pikett.Bereich,3)),AD$11=0.5),0.5,0))
+IF(AND(AD$34=INDEX(T.Pikett.Bereich,4),AD$11=6/8.4),0.75,0)+IF(AND(AD$34=INDEX(T.Pikett.Bereich,4),AD$11=1),16/24,0)
+IF(AND(AD$34=INDEX(T.Pikett.Bereich,4),AD$11=0.5),20/24,0))))),"")</f>
        <v>0</v>
      </c>
      <c r="AE81" s="278">
        <f ca="1">IF(EB.Anwendung&lt;&gt;"",IF(EB.Wochenarbeitszeit=50/24,"",IF(AE$12=0,0,
IF(T.MedizinischeMikrobiologie,IF(AND(AE$15&gt;0,AE$14&gt;0,AE$14&lt;T.Nachtbis,AE$15&gt;AE$14,IF(DAY(AE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D$77)&gt;=6/24),AE$15-AE$14,0),
IF(OR(WEEKDAY(AE$10,2)&gt;5,AE$11=0),IF(NOT(AE$34=INDEX(T.Pikett.Bereich,1)),1,0),IF(WEEKDAY(AE$10,2)&lt;6,IF(AND(OR(AE$34=INDEX(T.Pikett.Bereich,2),AE$34=INDEX(T.Pikett.Bereich,3)),AE$11=1),8/24,0))+IF(WEEKDAY(AE$10,2)&lt;6,IF(AND(OR(AE$34=INDEX(T.Pikett.Bereich,2),AE$34=INDEX(T.Pikett.Bereich,3)),AE$11=6/8.4),10/24,0))
+IF(WEEKDAY(AE$10,2)&lt;6,IF(AND(OR(AE$34=INDEX(T.Pikett.Bereich,2),AE$34=INDEX(T.Pikett.Bereich,3)),AE$11=0.5),0.5,0))
+IF(AND(AE$34=INDEX(T.Pikett.Bereich,4),AE$11=6/8.4),0.75,0)+IF(AND(AE$34=INDEX(T.Pikett.Bereich,4),AE$11=1),16/24,0)
+IF(AND(AE$34=INDEX(T.Pikett.Bereich,4),AE$11=0.5),20/24,0))))),"")</f>
        <v>0</v>
      </c>
      <c r="AF81" s="278">
        <f ca="1">IF(EB.Anwendung&lt;&gt;"",IF(EB.Wochenarbeitszeit=50/24,"",IF(AF$12=0,0,
IF(T.MedizinischeMikrobiologie,IF(AND(AF$15&gt;0,AF$14&gt;0,AF$14&lt;T.Nachtbis,AF$15&gt;AF$14,IF(DAY(AF$10)=1,IF(MONTH(Monat.Tag1)=1,0,IF(MONTH(Monat.Tag1)=2,Januar!Monat.BereitschaftletzterTag,IF(MONTH(Monat.Tag1)=3,Februar!Monat.BereitschaftletzterTag,IF(MONTH(Monat.Tag1)=4,März!Monat.BereitschaftletzterTag,IF(MONTH(Monat.Tag1)=5,April!Monat.BereitschaftletzterTag,IF(MONTH(Monat.Tag1)=6,Mai!Monat.BereitschaftletzterTag,IF(MONTH(Monat.Tag1)=7,Juni!Monat.BereitschaftletzterTag,IF(MONTH(Monat.Tag1)=8,Juli!Monat.BereitschaftletzterTag,IF(MONTH(Monat.Tag1)=9,August!Monat.BereitschaftletzterTag,IF(MONTH(Monat.Tag1)=10,September!Monat.BereitschaftletzterTag,IF(MONTH(Monat.Tag1)=11,Oktober!Monat.BereitschaftletzterTag,IF(MONTH(Monat.Tag1)=12,November!Monat.BereitschaftletzterTag,"")))))))))))),AE$77)&gt;=6/24),AF$15-AF$14,0),
IF(OR(WEEKDAY(AF$10,2)&gt;5,AF$11=0),IF(NOT(AF$34=INDEX(T.Pikett.Bereich,1)),1,0),IF(WEEKDAY(AF$10,2)&lt;6,IF(AND(OR(AF$34=INDEX(T.Pikett.Bereich,2),AF$34=INDEX(T.Pikett.Bereich,3)),AF$11=1),8/24,0))+IF(WEEKDAY(AF$10,2)&lt;6,IF(AND(OR(AF$34=INDEX(T.Pikett.Bereich,2),AF$34=INDEX(T.Pikett.Bereich,3)),AF$11=6/8.4),10/24,0))
+IF(WEEKDAY(AF$10,2)&lt;6,IF(AND(OR(AF$34=INDEX(T.Pikett.Bereich,2),AF$34=INDEX(T.Pikett.Bereich,3)),AF$11=0.5),0.5,0))
+IF(AND(AF$34=INDEX(T.Pikett.Bereich,4),AF$11=6/8.4),0.75,0)+IF(AND(AF$34=INDEX(T.Pikett.Bereich,4),AF$11=1),16/24,0)
+IF(AND(AF$34=INDEX(T.Pikett.Bereich,4),AF$11=0.5),20/24,0))))),"")</f>
        <v>0</v>
      </c>
      <c r="AG81" s="204" t="str">
        <f t="shared" si="20"/>
        <v>Bereitschaftsdienst</v>
      </c>
      <c r="AH81" s="272"/>
      <c r="AI81" s="237">
        <f ca="1">SUM(B81:AF81)</f>
        <v>0</v>
      </c>
      <c r="AJ81" s="259"/>
      <c r="AK81" s="223"/>
      <c r="AL81" s="243">
        <f ca="1">IF(EB.Anwendung&lt;&gt;"",IF(MONTH(Monat.Tag1)=1,0,IF(MONTH(Monat.Tag1)=2,Januar!Monat.BDUeVM,IF(MONTH(Monat.Tag1)=3,Februar!Monat.BDUeVM,IF(MONTH(Monat.Tag1)=4,März!Monat.BDUeVM,IF(MONTH(Monat.Tag1)=5,April!Monat.BDUeVM,IF(MONTH(Monat.Tag1)=6,Mai!Monat.BDUeVM,IF(MONTH(Monat.Tag1)=7,Juni!Monat.BDUeVM,IF(MONTH(Monat.Tag1)=8,Juli!Monat.BDUeVM,IF(MONTH(Monat.Tag1)=9,August!Monat.BDUeVM,IF(MONTH(Monat.Tag1)=10,September!Monat.BDUeVM,IF(MONTH(Monat.Tag1)=11,Oktober!Monat.BDUeVM,IF(MONTH(Monat.Tag1)=12,November!Monat.BDUeVM,"")))))))))))),"")</f>
        <v>0</v>
      </c>
      <c r="AM81" s="229">
        <f ca="1">IF(EB.Anwendung&lt;&gt;"",IF(T.MedizinischeMikrobiologie,IF(MONTH(Monat.Tag1)=12,0,IF(MONTH(Monat.Tag1)=1,Februar!Monat.BereitschaftgesternTag1,IF(MONTH(Monat.Tag1)=2,März!Monat.BereitschaftgesternTag1,IF(MONTH(Monat.Tag1)=3,April!Monat.BereitschaftgesternTag1,IF(MONTH(Monat.Tag1)=4,Mai!Monat.BereitschaftgesternTag1,IF(MONTH(Monat.Tag1)=5,Juni!Monat.BereitschaftgesternTag1,IF(MONTH(Monat.Tag1)=6,Juli!Monat.BereitschaftgesternTag1,IF(MONTH(Monat.Tag1)=7,August!Monat.BereitschaftgesternTag1,IF(MONTH(Monat.Tag1)=8,September!Monat.BereitschaftgesternTag1,IF(MONTH(Monat.Tag1)=9,Oktober!Monat.BereitschaftgesternTag1,IF(MONTH(Monat.Tag1)=10,November!Monat.BereitschaftgesternTag1,IF(MONTH(Monat.Tag1)=11,Dezember!Monat.BereitschaftgesternTag1,"")))))))))))),0),"")</f>
        <v>0</v>
      </c>
      <c r="AN81" s="244">
        <f ca="1">AI81+AL81</f>
        <v>0</v>
      </c>
      <c r="AO81" s="207"/>
      <c r="AP81" s="207"/>
      <c r="AQ81" s="118"/>
    </row>
    <row r="82" spans="1:43" s="38" customFormat="1" ht="15" customHeight="1" outlineLevel="1" x14ac:dyDescent="0.2">
      <c r="A82" s="211" t="s">
        <v>79</v>
      </c>
      <c r="B82" s="278" t="str">
        <f t="shared" ref="B82:AF82" ca="1" si="30">IF(B$12=0,"",IF(OR(WEEKDAY(B$10,2)&gt;5,B$11=0),
IF(T.50_NoVetsuisse,B45,
IF(OR(T.50_Vetsuisse,T.ServiceCenterIrchel,T.MedizinischeMikrobiologie),IF(B23-B73=0,"",B23-B73),
B60)),))</f>
        <v/>
      </c>
      <c r="C82" s="278">
        <f t="shared" ca="1" si="30"/>
        <v>0</v>
      </c>
      <c r="D82" s="279">
        <f t="shared" ca="1" si="30"/>
        <v>0</v>
      </c>
      <c r="E82" s="278">
        <f t="shared" ca="1" si="30"/>
        <v>0</v>
      </c>
      <c r="F82" s="279">
        <f t="shared" ca="1" si="30"/>
        <v>0</v>
      </c>
      <c r="G82" s="279" t="str">
        <f t="shared" ca="1" si="30"/>
        <v/>
      </c>
      <c r="H82" s="279" t="str">
        <f t="shared" ca="1" si="30"/>
        <v/>
      </c>
      <c r="I82" s="279">
        <f t="shared" ca="1" si="30"/>
        <v>0</v>
      </c>
      <c r="J82" s="278">
        <f t="shared" ca="1" si="30"/>
        <v>0</v>
      </c>
      <c r="K82" s="279">
        <f t="shared" ca="1" si="30"/>
        <v>0</v>
      </c>
      <c r="L82" s="278">
        <f t="shared" ca="1" si="30"/>
        <v>0</v>
      </c>
      <c r="M82" s="279">
        <f t="shared" ca="1" si="30"/>
        <v>0</v>
      </c>
      <c r="N82" s="279" t="str">
        <f t="shared" ca="1" si="30"/>
        <v/>
      </c>
      <c r="O82" s="279" t="str">
        <f t="shared" ca="1" si="30"/>
        <v/>
      </c>
      <c r="P82" s="279">
        <f t="shared" ca="1" si="30"/>
        <v>0</v>
      </c>
      <c r="Q82" s="278">
        <f t="shared" ca="1" si="30"/>
        <v>0</v>
      </c>
      <c r="R82" s="279">
        <f t="shared" ca="1" si="30"/>
        <v>0</v>
      </c>
      <c r="S82" s="278">
        <f t="shared" ca="1" si="30"/>
        <v>0</v>
      </c>
      <c r="T82" s="278">
        <f t="shared" ca="1" si="30"/>
        <v>0</v>
      </c>
      <c r="U82" s="279" t="str">
        <f t="shared" ca="1" si="30"/>
        <v/>
      </c>
      <c r="V82" s="279" t="str">
        <f t="shared" ca="1" si="30"/>
        <v/>
      </c>
      <c r="W82" s="279">
        <f t="shared" ca="1" si="30"/>
        <v>0</v>
      </c>
      <c r="X82" s="278">
        <f t="shared" ca="1" si="30"/>
        <v>0</v>
      </c>
      <c r="Y82" s="279">
        <f t="shared" ca="1" si="30"/>
        <v>0</v>
      </c>
      <c r="Z82" s="280">
        <f t="shared" ca="1" si="30"/>
        <v>0</v>
      </c>
      <c r="AA82" s="279">
        <f t="shared" ca="1" si="30"/>
        <v>0</v>
      </c>
      <c r="AB82" s="279" t="str">
        <f t="shared" ca="1" si="30"/>
        <v/>
      </c>
      <c r="AC82" s="279" t="str">
        <f t="shared" ca="1" si="30"/>
        <v/>
      </c>
      <c r="AD82" s="279">
        <f t="shared" ca="1" si="30"/>
        <v>0</v>
      </c>
      <c r="AE82" s="278">
        <f t="shared" ca="1" si="30"/>
        <v>0</v>
      </c>
      <c r="AF82" s="279">
        <f t="shared" ca="1" si="30"/>
        <v>0</v>
      </c>
      <c r="AG82" s="204" t="str">
        <f t="shared" si="20"/>
        <v>Samstag-/Sonntagdienst</v>
      </c>
      <c r="AH82" s="227"/>
      <c r="AI82" s="237">
        <f ca="1">SUM(B82:AF82)</f>
        <v>0</v>
      </c>
      <c r="AJ82" s="228">
        <f ca="1">IFERROR(SUMPRODUCT((B82:AF82&gt;0)*(B82:AF82&lt;&gt;"")),0)</f>
        <v>0</v>
      </c>
      <c r="AK82" s="223"/>
      <c r="AL82" s="243">
        <f ca="1">IF(EB.Anwendung&lt;&gt;"",IF(MONTH(Monat.Tag1)=1,0,IF(MONTH(Monat.Tag1)=2,Januar!Monat.SDUeVM,IF(MONTH(Monat.Tag1)=3,Februar!Monat.SDUeVM,IF(MONTH(Monat.Tag1)=4,März!Monat.SDUeVM,IF(MONTH(Monat.Tag1)=5,April!Monat.SDUeVM,IF(MONTH(Monat.Tag1)=6,Mai!Monat.SDUeVM,IF(MONTH(Monat.Tag1)=7,Juni!Monat.SDUeVM,IF(MONTH(Monat.Tag1)=8,Juli!Monat.SDUeVM,IF(MONTH(Monat.Tag1)=9,August!Monat.SDUeVM,IF(MONTH(Monat.Tag1)=10,September!Monat.SDUeVM,IF(MONTH(Monat.Tag1)=11,Oktober!Monat.SDUeVM,IF(MONTH(Monat.Tag1)=12,November!Monat.SDUeVM,"")))))))))))),"")</f>
        <v>0</v>
      </c>
      <c r="AM82" s="208"/>
      <c r="AN82" s="244">
        <f ca="1">AI82+AL82</f>
        <v>0</v>
      </c>
      <c r="AO82" s="207"/>
      <c r="AP82" s="207"/>
      <c r="AQ82" s="118"/>
    </row>
    <row r="83" spans="1:43" s="38" customFormat="1" ht="11.25" customHeight="1" outlineLevel="1" x14ac:dyDescent="0.2">
      <c r="A83" s="219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6"/>
      <c r="AG83" s="204"/>
      <c r="AH83" s="227"/>
      <c r="AI83" s="223"/>
      <c r="AJ83" s="276"/>
      <c r="AK83" s="260"/>
      <c r="AL83" s="260"/>
      <c r="AM83" s="208"/>
      <c r="AN83" s="277"/>
      <c r="AO83" s="281"/>
      <c r="AP83" s="281"/>
      <c r="AQ83" s="118"/>
    </row>
    <row r="84" spans="1:43" s="38" customFormat="1" ht="15" customHeight="1" x14ac:dyDescent="0.2">
      <c r="A84" s="211" t="s">
        <v>10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7"/>
      <c r="AA84" s="40"/>
      <c r="AB84" s="40"/>
      <c r="AC84" s="40"/>
      <c r="AD84" s="40"/>
      <c r="AE84" s="40"/>
      <c r="AF84" s="40"/>
      <c r="AG84" s="204" t="str">
        <f>A84 &amp; IFERROR(IF(AND(MONTH(Monat.Tag1)=6,EB.Jahr&gt;2020),IF(SUM(Jahresabrechnung!AC15:AC20)&lt;EB.FerienBer,IF(EB.Sprache="EN"," (Balance PY "," (Saldo VJ ") &amp; " &gt; 0!)",""),""),"")</f>
        <v>Ferien</v>
      </c>
      <c r="AH84" s="217"/>
      <c r="AI84" s="237">
        <f t="shared" ref="AI84:AI95" si="31">SUM(B84:AF84)</f>
        <v>0</v>
      </c>
      <c r="AJ84" s="259"/>
      <c r="AK84" s="243">
        <f ca="1">OFFSET(EB.MFAStd.Knoten,MONTH(Monat.Tag1),0,1,1)</f>
        <v>0</v>
      </c>
      <c r="AL84" s="243">
        <f ca="1">IF(EB.Anwendung&lt;&gt;"",IF(MONTH(Monat.Tag1)=1,EB.FerienBer,IF(MONTH(Monat.Tag1)=2,Januar!Monat.FerienUeVM,IF(MONTH(Monat.Tag1)=3,Februar!Monat.FerienUeVM,IF(MONTH(Monat.Tag1)=4,März!Monat.FerienUeVM,IF(MONTH(Monat.Tag1)=5,April!Monat.FerienUeVM,IF(MONTH(Monat.Tag1)=6,Mai!Monat.FerienUeVM,IF(MONTH(Monat.Tag1)=7,Juni!Monat.FerienUeVM,IF(MONTH(Monat.Tag1)=8,Juli!Monat.FerienUeVM,IF(MONTH(Monat.Tag1)=9,August!Monat.FerienUeVM,IF(MONTH(Monat.Tag1)=10,September!Monat.FerienUeVM,IF(MONTH(Monat.Tag1)=11,Oktober!Monat.FerienUeVM,IF(MONTH(Monat.Tag1)=12,November!Monat.FerienUeVM,"")))))))))))),"")</f>
        <v>0</v>
      </c>
      <c r="AM84" s="208"/>
      <c r="AN84" s="244">
        <f ca="1">ROUND(IF(AH85="+",(AK84+AL84-Monat.Ferien.Total+AI85),(AK84+AL84-Monat.Ferien.Total-AI85))*1440,0)/1440</f>
        <v>0</v>
      </c>
      <c r="AO84" s="244">
        <f ca="1">SUM(Jahresabrechnung!AC12:AC13)-SUM(OFFSET(Jahresabrechnung!AC15,0,0,MONTH(Monat.Tag1),1))</f>
        <v>0</v>
      </c>
      <c r="AP84" s="244">
        <f ca="1">J.FerienUE.Total</f>
        <v>0</v>
      </c>
      <c r="AQ84" s="118"/>
    </row>
    <row r="85" spans="1:43" s="38" customFormat="1" ht="15" customHeight="1" x14ac:dyDescent="0.2">
      <c r="A85" s="219"/>
      <c r="B85" s="435">
        <f t="shared" ref="B85:AF85" ca="1" si="32">IF(DAY(B$10)=1,Monat.Ferien.JS+Monat.Ferien.Total-B84,A85-B84)</f>
        <v>0</v>
      </c>
      <c r="C85" s="435">
        <f t="shared" ca="1" si="32"/>
        <v>0</v>
      </c>
      <c r="D85" s="435">
        <f t="shared" ca="1" si="32"/>
        <v>0</v>
      </c>
      <c r="E85" s="435">
        <f t="shared" ca="1" si="32"/>
        <v>0</v>
      </c>
      <c r="F85" s="435">
        <f t="shared" ca="1" si="32"/>
        <v>0</v>
      </c>
      <c r="G85" s="435">
        <f t="shared" ca="1" si="32"/>
        <v>0</v>
      </c>
      <c r="H85" s="435">
        <f t="shared" ca="1" si="32"/>
        <v>0</v>
      </c>
      <c r="I85" s="435">
        <f t="shared" ca="1" si="32"/>
        <v>0</v>
      </c>
      <c r="J85" s="435">
        <f t="shared" ca="1" si="32"/>
        <v>0</v>
      </c>
      <c r="K85" s="435">
        <f t="shared" ca="1" si="32"/>
        <v>0</v>
      </c>
      <c r="L85" s="435">
        <f t="shared" ca="1" si="32"/>
        <v>0</v>
      </c>
      <c r="M85" s="435">
        <f t="shared" ca="1" si="32"/>
        <v>0</v>
      </c>
      <c r="N85" s="435">
        <f t="shared" ca="1" si="32"/>
        <v>0</v>
      </c>
      <c r="O85" s="435">
        <f t="shared" ca="1" si="32"/>
        <v>0</v>
      </c>
      <c r="P85" s="435">
        <f t="shared" ca="1" si="32"/>
        <v>0</v>
      </c>
      <c r="Q85" s="435">
        <f t="shared" ca="1" si="32"/>
        <v>0</v>
      </c>
      <c r="R85" s="435">
        <f t="shared" ca="1" si="32"/>
        <v>0</v>
      </c>
      <c r="S85" s="435">
        <f t="shared" ca="1" si="32"/>
        <v>0</v>
      </c>
      <c r="T85" s="435">
        <f t="shared" ca="1" si="32"/>
        <v>0</v>
      </c>
      <c r="U85" s="435">
        <f t="shared" ca="1" si="32"/>
        <v>0</v>
      </c>
      <c r="V85" s="435">
        <f t="shared" ca="1" si="32"/>
        <v>0</v>
      </c>
      <c r="W85" s="435">
        <f t="shared" ca="1" si="32"/>
        <v>0</v>
      </c>
      <c r="X85" s="435">
        <f t="shared" ca="1" si="32"/>
        <v>0</v>
      </c>
      <c r="Y85" s="435">
        <f t="shared" ca="1" si="32"/>
        <v>0</v>
      </c>
      <c r="Z85" s="435">
        <f t="shared" ca="1" si="32"/>
        <v>0</v>
      </c>
      <c r="AA85" s="435">
        <f t="shared" ca="1" si="32"/>
        <v>0</v>
      </c>
      <c r="AB85" s="435">
        <f t="shared" ca="1" si="32"/>
        <v>0</v>
      </c>
      <c r="AC85" s="435">
        <f t="shared" ca="1" si="32"/>
        <v>0</v>
      </c>
      <c r="AD85" s="435">
        <f t="shared" ca="1" si="32"/>
        <v>0</v>
      </c>
      <c r="AE85" s="435">
        <f t="shared" ca="1" si="32"/>
        <v>0</v>
      </c>
      <c r="AF85" s="436">
        <f t="shared" ca="1" si="32"/>
        <v>0</v>
      </c>
      <c r="AG85" s="211" t="s">
        <v>68</v>
      </c>
      <c r="AH85" s="45" t="s">
        <v>27</v>
      </c>
      <c r="AI85" s="48"/>
      <c r="AJ85" s="268"/>
      <c r="AK85" s="208"/>
      <c r="AL85" s="208"/>
      <c r="AM85" s="208"/>
      <c r="AN85" s="207"/>
      <c r="AO85" s="282"/>
      <c r="AP85" s="282"/>
      <c r="AQ85" s="118"/>
    </row>
    <row r="86" spans="1:43" s="38" customFormat="1" ht="15" customHeight="1" x14ac:dyDescent="0.2">
      <c r="A86" s="211" t="s">
        <v>11</v>
      </c>
      <c r="B86" s="40"/>
      <c r="C86" s="40"/>
      <c r="D86" s="40"/>
      <c r="E86" s="27"/>
      <c r="F86" s="40"/>
      <c r="G86" s="40"/>
      <c r="H86" s="40"/>
      <c r="I86" s="40"/>
      <c r="J86" s="27"/>
      <c r="K86" s="40"/>
      <c r="L86" s="27"/>
      <c r="M86" s="40"/>
      <c r="N86" s="40"/>
      <c r="O86" s="40"/>
      <c r="P86" s="40"/>
      <c r="Q86" s="27"/>
      <c r="R86" s="40"/>
      <c r="S86" s="27"/>
      <c r="T86" s="27"/>
      <c r="U86" s="40"/>
      <c r="V86" s="40"/>
      <c r="W86" s="40"/>
      <c r="X86" s="27"/>
      <c r="Y86" s="40"/>
      <c r="Z86" s="39"/>
      <c r="AA86" s="40"/>
      <c r="AB86" s="40"/>
      <c r="AC86" s="40"/>
      <c r="AD86" s="40"/>
      <c r="AE86" s="27"/>
      <c r="AF86" s="40"/>
      <c r="AG86" s="204" t="str">
        <f t="shared" ref="AG86:AG112" si="33">A86</f>
        <v>Arztbesuch</v>
      </c>
      <c r="AH86" s="217"/>
      <c r="AI86" s="237">
        <f t="shared" si="31"/>
        <v>0</v>
      </c>
      <c r="AJ86" s="259"/>
      <c r="AK86" s="260"/>
      <c r="AL86" s="243">
        <f ca="1">IF(EB.Anwendung&lt;&gt;"",IF(MONTH(Monat.Tag1)=1,0,IF(MONTH(Monat.Tag1)=2,Januar!Monat.ArztUeVM,IF(MONTH(Monat.Tag1)=3,Februar!Monat.ArztUeVM,IF(MONTH(Monat.Tag1)=4,März!Monat.ArztUeVM,IF(MONTH(Monat.Tag1)=5,April!Monat.ArztUeVM,IF(MONTH(Monat.Tag1)=6,Mai!Monat.ArztUeVM,IF(MONTH(Monat.Tag1)=7,Juni!Monat.ArztUeVM,IF(MONTH(Monat.Tag1)=8,Juli!Monat.ArztUeVM,IF(MONTH(Monat.Tag1)=9,August!Monat.ArztUeVM,IF(MONTH(Monat.Tag1)=10,September!Monat.ArztUeVM,IF(MONTH(Monat.Tag1)=11,Oktober!Monat.ArztUeVM,IF(MONTH(Monat.Tag1)=12,November!Monat.ArztUeVM,"")))))))))))),"")</f>
        <v>0</v>
      </c>
      <c r="AM86" s="208"/>
      <c r="AN86" s="244">
        <f t="shared" ref="AN86:AN94" ca="1" si="34">AI86+AL86</f>
        <v>0</v>
      </c>
      <c r="AO86" s="207"/>
      <c r="AP86" s="207"/>
      <c r="AQ86" s="118"/>
    </row>
    <row r="87" spans="1:43" s="38" customFormat="1" ht="15" customHeight="1" x14ac:dyDescent="0.2">
      <c r="A87" s="211" t="s">
        <v>12</v>
      </c>
      <c r="B87" s="40"/>
      <c r="C87" s="40"/>
      <c r="D87" s="40"/>
      <c r="E87" s="27"/>
      <c r="F87" s="40"/>
      <c r="G87" s="40"/>
      <c r="H87" s="40"/>
      <c r="I87" s="40"/>
      <c r="J87" s="27"/>
      <c r="K87" s="40"/>
      <c r="L87" s="27"/>
      <c r="M87" s="40"/>
      <c r="N87" s="40"/>
      <c r="O87" s="40"/>
      <c r="P87" s="40"/>
      <c r="Q87" s="27"/>
      <c r="R87" s="40"/>
      <c r="S87" s="27"/>
      <c r="T87" s="27"/>
      <c r="U87" s="40"/>
      <c r="V87" s="40"/>
      <c r="W87" s="40"/>
      <c r="X87" s="27"/>
      <c r="Y87" s="40"/>
      <c r="Z87" s="39"/>
      <c r="AA87" s="40"/>
      <c r="AB87" s="40"/>
      <c r="AC87" s="40"/>
      <c r="AD87" s="40"/>
      <c r="AE87" s="27"/>
      <c r="AF87" s="40"/>
      <c r="AG87" s="204" t="str">
        <f t="shared" si="33"/>
        <v>Krankheit</v>
      </c>
      <c r="AH87" s="217"/>
      <c r="AI87" s="237">
        <f t="shared" si="31"/>
        <v>0</v>
      </c>
      <c r="AJ87" s="259"/>
      <c r="AK87" s="260"/>
      <c r="AL87" s="243">
        <f ca="1">IF(EB.Anwendung&lt;&gt;"",IF(MONTH(Monat.Tag1)=1,0,IF(MONTH(Monat.Tag1)=2,Januar!Monat.KrankUeVM,IF(MONTH(Monat.Tag1)=3,Februar!Monat.KrankUeVM,IF(MONTH(Monat.Tag1)=4,März!Monat.KrankUeVM,IF(MONTH(Monat.Tag1)=5,April!Monat.KrankUeVM,IF(MONTH(Monat.Tag1)=6,Mai!Monat.KrankUeVM,IF(MONTH(Monat.Tag1)=7,Juni!Monat.KrankUeVM,IF(MONTH(Monat.Tag1)=8,Juli!Monat.KrankUeVM,IF(MONTH(Monat.Tag1)=9,August!Monat.KrankUeVM,IF(MONTH(Monat.Tag1)=10,September!Monat.KrankUeVM,IF(MONTH(Monat.Tag1)=11,Oktober!Monat.KrankUeVM,IF(MONTH(Monat.Tag1)=12,November!Monat.KrankUeVM,"")))))))))))),"")</f>
        <v>0</v>
      </c>
      <c r="AM87" s="208"/>
      <c r="AN87" s="244">
        <f t="shared" ca="1" si="34"/>
        <v>0</v>
      </c>
      <c r="AO87" s="207"/>
      <c r="AP87" s="207"/>
      <c r="AQ87" s="118"/>
    </row>
    <row r="88" spans="1:43" s="38" customFormat="1" ht="15" customHeight="1" x14ac:dyDescent="0.2">
      <c r="A88" s="211" t="s">
        <v>13</v>
      </c>
      <c r="B88" s="40"/>
      <c r="C88" s="40"/>
      <c r="D88" s="40"/>
      <c r="E88" s="27"/>
      <c r="F88" s="40"/>
      <c r="G88" s="40"/>
      <c r="H88" s="40"/>
      <c r="I88" s="40"/>
      <c r="J88" s="27"/>
      <c r="K88" s="40"/>
      <c r="L88" s="27"/>
      <c r="M88" s="40"/>
      <c r="N88" s="40"/>
      <c r="O88" s="40"/>
      <c r="P88" s="40"/>
      <c r="Q88" s="27"/>
      <c r="R88" s="40"/>
      <c r="S88" s="27"/>
      <c r="T88" s="27"/>
      <c r="U88" s="40"/>
      <c r="V88" s="40"/>
      <c r="W88" s="40"/>
      <c r="X88" s="27"/>
      <c r="Y88" s="40"/>
      <c r="Z88" s="39"/>
      <c r="AA88" s="40"/>
      <c r="AB88" s="40"/>
      <c r="AC88" s="40"/>
      <c r="AD88" s="40"/>
      <c r="AE88" s="27"/>
      <c r="AF88" s="40"/>
      <c r="AG88" s="204" t="str">
        <f t="shared" si="33"/>
        <v>Berufsunfall</v>
      </c>
      <c r="AH88" s="217"/>
      <c r="AI88" s="237">
        <f t="shared" si="31"/>
        <v>0</v>
      </c>
      <c r="AJ88" s="259"/>
      <c r="AK88" s="260"/>
      <c r="AL88" s="243">
        <f ca="1">IF(EB.Anwendung&lt;&gt;"",IF(MONTH(Monat.Tag1)=1,0,IF(MONTH(Monat.Tag1)=2,Januar!Monat.BUUeVM,IF(MONTH(Monat.Tag1)=3,Februar!Monat.BUUeVM,IF(MONTH(Monat.Tag1)=4,März!Monat.BUUeVM,IF(MONTH(Monat.Tag1)=5,April!Monat.BUUeVM,IF(MONTH(Monat.Tag1)=6,Mai!Monat.BUUeVM,IF(MONTH(Monat.Tag1)=7,Juni!Monat.BUUeVM,IF(MONTH(Monat.Tag1)=8,Juli!Monat.BUUeVM,IF(MONTH(Monat.Tag1)=9,August!Monat.BUUeVM,IF(MONTH(Monat.Tag1)=10,September!Monat.BUUeVM,IF(MONTH(Monat.Tag1)=11,Oktober!Monat.BUUeVM,IF(MONTH(Monat.Tag1)=12,November!Monat.BUUeVM,"")))))))))))),"")</f>
        <v>0</v>
      </c>
      <c r="AM88" s="208"/>
      <c r="AN88" s="244">
        <f t="shared" ca="1" si="34"/>
        <v>0</v>
      </c>
      <c r="AO88" s="207"/>
      <c r="AP88" s="207"/>
      <c r="AQ88" s="118"/>
    </row>
    <row r="89" spans="1:43" s="38" customFormat="1" ht="15" customHeight="1" x14ac:dyDescent="0.2">
      <c r="A89" s="211" t="s">
        <v>14</v>
      </c>
      <c r="B89" s="40"/>
      <c r="C89" s="40"/>
      <c r="D89" s="40"/>
      <c r="E89" s="27"/>
      <c r="F89" s="40"/>
      <c r="G89" s="40"/>
      <c r="H89" s="40"/>
      <c r="I89" s="40"/>
      <c r="J89" s="27"/>
      <c r="K89" s="40"/>
      <c r="L89" s="27"/>
      <c r="M89" s="40"/>
      <c r="N89" s="40"/>
      <c r="O89" s="40"/>
      <c r="P89" s="40"/>
      <c r="Q89" s="27"/>
      <c r="R89" s="40"/>
      <c r="S89" s="27"/>
      <c r="T89" s="27"/>
      <c r="U89" s="40"/>
      <c r="V89" s="40"/>
      <c r="W89" s="40"/>
      <c r="X89" s="27"/>
      <c r="Y89" s="40"/>
      <c r="Z89" s="39"/>
      <c r="AA89" s="40"/>
      <c r="AB89" s="40"/>
      <c r="AC89" s="40"/>
      <c r="AD89" s="40"/>
      <c r="AE89" s="27"/>
      <c r="AF89" s="40"/>
      <c r="AG89" s="204" t="str">
        <f t="shared" si="33"/>
        <v>Nichtberufsunfall</v>
      </c>
      <c r="AH89" s="217"/>
      <c r="AI89" s="237">
        <f t="shared" si="31"/>
        <v>0</v>
      </c>
      <c r="AJ89" s="259"/>
      <c r="AK89" s="260"/>
      <c r="AL89" s="243">
        <f ca="1">IF(EB.Anwendung&lt;&gt;"",IF(MONTH(Monat.Tag1)=1,0,IF(MONTH(Monat.Tag1)=2,Januar!Monat.NBUUeVM,IF(MONTH(Monat.Tag1)=3,Februar!Monat.NBUUeVM,IF(MONTH(Monat.Tag1)=4,März!Monat.NBUUeVM,IF(MONTH(Monat.Tag1)=5,April!Monat.NBUUeVM,IF(MONTH(Monat.Tag1)=6,Mai!Monat.NBUUeVM,IF(MONTH(Monat.Tag1)=7,Juni!Monat.NBUUeVM,IF(MONTH(Monat.Tag1)=8,Juli!Monat.NBUUeVM,IF(MONTH(Monat.Tag1)=9,August!Monat.NBUUeVM,IF(MONTH(Monat.Tag1)=10,September!Monat.NBUUeVM,IF(MONTH(Monat.Tag1)=11,Oktober!Monat.NBUUeVM,IF(MONTH(Monat.Tag1)=12,November!Monat.NBUUeVM,"")))))))))))),"")</f>
        <v>0</v>
      </c>
      <c r="AM89" s="208"/>
      <c r="AN89" s="244">
        <f t="shared" ca="1" si="34"/>
        <v>0</v>
      </c>
      <c r="AO89" s="207"/>
      <c r="AP89" s="207"/>
      <c r="AQ89" s="118"/>
    </row>
    <row r="90" spans="1:43" s="38" customFormat="1" ht="15" customHeight="1" x14ac:dyDescent="0.2">
      <c r="A90" s="211" t="s">
        <v>41</v>
      </c>
      <c r="B90" s="40"/>
      <c r="C90" s="40"/>
      <c r="D90" s="40"/>
      <c r="E90" s="27"/>
      <c r="F90" s="40"/>
      <c r="G90" s="40"/>
      <c r="H90" s="40"/>
      <c r="I90" s="40"/>
      <c r="J90" s="27"/>
      <c r="K90" s="40"/>
      <c r="L90" s="27"/>
      <c r="M90" s="40"/>
      <c r="N90" s="40"/>
      <c r="O90" s="40"/>
      <c r="P90" s="40"/>
      <c r="Q90" s="27"/>
      <c r="R90" s="40"/>
      <c r="S90" s="27"/>
      <c r="T90" s="27"/>
      <c r="U90" s="40"/>
      <c r="V90" s="40"/>
      <c r="W90" s="40"/>
      <c r="X90" s="27"/>
      <c r="Y90" s="40"/>
      <c r="Z90" s="39"/>
      <c r="AA90" s="40"/>
      <c r="AB90" s="40"/>
      <c r="AC90" s="40"/>
      <c r="AD90" s="40"/>
      <c r="AE90" s="27"/>
      <c r="AF90" s="40"/>
      <c r="AG90" s="204" t="str">
        <f t="shared" si="33"/>
        <v>Militär/Zivilschutz</v>
      </c>
      <c r="AH90" s="217"/>
      <c r="AI90" s="237">
        <f t="shared" si="31"/>
        <v>0</v>
      </c>
      <c r="AJ90" s="259"/>
      <c r="AK90" s="260"/>
      <c r="AL90" s="243">
        <f ca="1">IF(EB.Anwendung&lt;&gt;"",IF(MONTH(Monat.Tag1)=1,0,IF(MONTH(Monat.Tag1)=2,Januar!Monat.MZSUeVM,IF(MONTH(Monat.Tag1)=3,Februar!Monat.MZSUeVM,IF(MONTH(Monat.Tag1)=4,März!Monat.MZSUeVM,IF(MONTH(Monat.Tag1)=5,April!Monat.MZSUeVM,IF(MONTH(Monat.Tag1)=6,Mai!Monat.MZSUeVM,IF(MONTH(Monat.Tag1)=7,Juni!Monat.MZSUeVM,IF(MONTH(Monat.Tag1)=8,Juli!Monat.MZSUeVM,IF(MONTH(Monat.Tag1)=9,August!Monat.MZSUeVM,IF(MONTH(Monat.Tag1)=10,September!Monat.MZSUeVM,IF(MONTH(Monat.Tag1)=11,Oktober!Monat.MZSUeVM,IF(MONTH(Monat.Tag1)=12,November!Monat.MZSUeVM,"")))))))))))),"")</f>
        <v>0</v>
      </c>
      <c r="AM90" s="208"/>
      <c r="AN90" s="244">
        <f t="shared" ca="1" si="34"/>
        <v>0</v>
      </c>
      <c r="AO90" s="207"/>
      <c r="AP90" s="207"/>
      <c r="AQ90" s="118"/>
    </row>
    <row r="91" spans="1:43" s="38" customFormat="1" ht="15" customHeight="1" x14ac:dyDescent="0.2">
      <c r="A91" s="211" t="s">
        <v>42</v>
      </c>
      <c r="B91" s="40"/>
      <c r="C91" s="40"/>
      <c r="D91" s="40"/>
      <c r="E91" s="27"/>
      <c r="F91" s="40"/>
      <c r="G91" s="40"/>
      <c r="H91" s="40"/>
      <c r="I91" s="40"/>
      <c r="J91" s="27"/>
      <c r="K91" s="40"/>
      <c r="L91" s="27"/>
      <c r="M91" s="40"/>
      <c r="N91" s="40"/>
      <c r="O91" s="40"/>
      <c r="P91" s="40"/>
      <c r="Q91" s="27"/>
      <c r="R91" s="40"/>
      <c r="S91" s="27"/>
      <c r="T91" s="27"/>
      <c r="U91" s="40"/>
      <c r="V91" s="40"/>
      <c r="W91" s="40"/>
      <c r="X91" s="27"/>
      <c r="Y91" s="40"/>
      <c r="Z91" s="39"/>
      <c r="AA91" s="40"/>
      <c r="AB91" s="40"/>
      <c r="AC91" s="40"/>
      <c r="AD91" s="40"/>
      <c r="AE91" s="27"/>
      <c r="AF91" s="40"/>
      <c r="AG91" s="204" t="str">
        <f t="shared" si="33"/>
        <v>Weiterbildung</v>
      </c>
      <c r="AH91" s="217"/>
      <c r="AI91" s="237">
        <f t="shared" si="31"/>
        <v>0</v>
      </c>
      <c r="AJ91" s="259"/>
      <c r="AK91" s="260"/>
      <c r="AL91" s="243">
        <f ca="1">IF(EB.Anwendung&lt;&gt;"",IF(MONTH(Monat.Tag1)=1,0,IF(MONTH(Monat.Tag1)=2,Januar!Monat.WBUeVM,IF(MONTH(Monat.Tag1)=3,Februar!Monat.WBUeVM,IF(MONTH(Monat.Tag1)=4,März!Monat.WBUeVM,IF(MONTH(Monat.Tag1)=5,April!Monat.WBUeVM,IF(MONTH(Monat.Tag1)=6,Mai!Monat.WBUeVM,IF(MONTH(Monat.Tag1)=7,Juni!Monat.WBUeVM,IF(MONTH(Monat.Tag1)=8,Juli!Monat.WBUeVM,IF(MONTH(Monat.Tag1)=9,August!Monat.WBUeVM,IF(MONTH(Monat.Tag1)=10,September!Monat.WBUeVM,IF(MONTH(Monat.Tag1)=11,Oktober!Monat.WBUeVM,IF(MONTH(Monat.Tag1)=12,November!Monat.WBUeVM,"")))))))))))),"")</f>
        <v>0</v>
      </c>
      <c r="AM91" s="208"/>
      <c r="AN91" s="244">
        <f t="shared" ca="1" si="34"/>
        <v>0</v>
      </c>
      <c r="AO91" s="207"/>
      <c r="AP91" s="207"/>
      <c r="AQ91" s="118"/>
    </row>
    <row r="92" spans="1:43" s="38" customFormat="1" ht="15" customHeight="1" x14ac:dyDescent="0.2">
      <c r="A92" s="211" t="s">
        <v>43</v>
      </c>
      <c r="B92" s="40"/>
      <c r="C92" s="40"/>
      <c r="D92" s="40"/>
      <c r="E92" s="27"/>
      <c r="F92" s="40"/>
      <c r="G92" s="40"/>
      <c r="H92" s="40"/>
      <c r="I92" s="40"/>
      <c r="J92" s="27"/>
      <c r="K92" s="40"/>
      <c r="L92" s="27"/>
      <c r="M92" s="40"/>
      <c r="N92" s="40"/>
      <c r="O92" s="40"/>
      <c r="P92" s="40"/>
      <c r="Q92" s="27"/>
      <c r="R92" s="40"/>
      <c r="S92" s="27"/>
      <c r="T92" s="27"/>
      <c r="U92" s="40"/>
      <c r="V92" s="40"/>
      <c r="W92" s="40"/>
      <c r="X92" s="27"/>
      <c r="Y92" s="40"/>
      <c r="Z92" s="39"/>
      <c r="AA92" s="40"/>
      <c r="AB92" s="40"/>
      <c r="AC92" s="40"/>
      <c r="AD92" s="40"/>
      <c r="AE92" s="27"/>
      <c r="AF92" s="40"/>
      <c r="AG92" s="204" t="str">
        <f t="shared" si="33"/>
        <v>Besoldeter Urlaub</v>
      </c>
      <c r="AH92" s="217"/>
      <c r="AI92" s="237">
        <f t="shared" si="31"/>
        <v>0</v>
      </c>
      <c r="AJ92" s="259"/>
      <c r="AK92" s="260"/>
      <c r="AL92" s="243">
        <f ca="1">IF(EB.Anwendung&lt;&gt;"",IF(MONTH(Monat.Tag1)=1,0,IF(MONTH(Monat.Tag1)=2,Januar!Monat.BesUrlaubUeVM,IF(MONTH(Monat.Tag1)=3,Februar!Monat.BesUrlaubUeVM,IF(MONTH(Monat.Tag1)=4,März!Monat.BesUrlaubUeVM,IF(MONTH(Monat.Tag1)=5,April!Monat.BesUrlaubUeVM,IF(MONTH(Monat.Tag1)=6,Mai!Monat.BesUrlaubUeVM,IF(MONTH(Monat.Tag1)=7,Juni!Monat.BesUrlaubUeVM,IF(MONTH(Monat.Tag1)=8,Juli!Monat.BesUrlaubUeVM,IF(MONTH(Monat.Tag1)=9,August!Monat.BesUrlaubUeVM,IF(MONTH(Monat.Tag1)=10,September!Monat.BesUrlaubUeVM,IF(MONTH(Monat.Tag1)=11,Oktober!Monat.BesUrlaubUeVM,IF(MONTH(Monat.Tag1)=12,November!Monat.BesUrlaubUeVM,"")))))))))))),"")</f>
        <v>0</v>
      </c>
      <c r="AM92" s="208"/>
      <c r="AN92" s="244">
        <f t="shared" ca="1" si="34"/>
        <v>0</v>
      </c>
      <c r="AO92" s="207"/>
      <c r="AP92" s="207"/>
      <c r="AQ92" s="118"/>
    </row>
    <row r="93" spans="1:43" s="38" customFormat="1" ht="15" customHeight="1" x14ac:dyDescent="0.2">
      <c r="A93" s="211" t="s">
        <v>44</v>
      </c>
      <c r="B93" s="40"/>
      <c r="C93" s="40"/>
      <c r="D93" s="40"/>
      <c r="E93" s="27"/>
      <c r="F93" s="40"/>
      <c r="G93" s="40"/>
      <c r="H93" s="40"/>
      <c r="I93" s="40"/>
      <c r="J93" s="27"/>
      <c r="K93" s="40"/>
      <c r="L93" s="27"/>
      <c r="M93" s="40"/>
      <c r="N93" s="40"/>
      <c r="O93" s="40"/>
      <c r="P93" s="40"/>
      <c r="Q93" s="27"/>
      <c r="R93" s="40"/>
      <c r="S93" s="27"/>
      <c r="T93" s="27"/>
      <c r="U93" s="40"/>
      <c r="V93" s="40"/>
      <c r="W93" s="40"/>
      <c r="X93" s="27"/>
      <c r="Y93" s="40"/>
      <c r="Z93" s="39"/>
      <c r="AA93" s="40"/>
      <c r="AB93" s="40"/>
      <c r="AC93" s="40"/>
      <c r="AD93" s="40"/>
      <c r="AE93" s="27"/>
      <c r="AF93" s="40"/>
      <c r="AG93" s="204" t="str">
        <f t="shared" si="33"/>
        <v>Unbesoldeter Urlaub</v>
      </c>
      <c r="AH93" s="217"/>
      <c r="AI93" s="237">
        <f t="shared" si="31"/>
        <v>0</v>
      </c>
      <c r="AJ93" s="259"/>
      <c r="AK93" s="260"/>
      <c r="AL93" s="243">
        <f ca="1">IF(EB.Anwendung&lt;&gt;"",IF(MONTH(Monat.Tag1)=1,0,IF(MONTH(Monat.Tag1)=2,Januar!Monat.UnbesUrlaubUeVM,IF(MONTH(Monat.Tag1)=3,Februar!Monat.UnbesUrlaubUeVM,IF(MONTH(Monat.Tag1)=4,März!Monat.UnbesUrlaubUeVM,IF(MONTH(Monat.Tag1)=5,April!Monat.UnbesUrlaubUeVM,IF(MONTH(Monat.Tag1)=6,Mai!Monat.UnbesUrlaubUeVM,IF(MONTH(Monat.Tag1)=7,Juni!Monat.UnbesUrlaubUeVM,IF(MONTH(Monat.Tag1)=8,Juli!Monat.UnbesUrlaubUeVM,IF(MONTH(Monat.Tag1)=9,August!Monat.UnbesUrlaubUeVM,IF(MONTH(Monat.Tag1)=10,September!Monat.UnbesUrlaubUeVM,IF(MONTH(Monat.Tag1)=11,Oktober!Monat.UnbesUrlaubUeVM,IF(MONTH(Monat.Tag1)=12,November!Monat.UnbesUrlaubUeVM,"")))))))))))),"")</f>
        <v>0</v>
      </c>
      <c r="AM93" s="208"/>
      <c r="AN93" s="244">
        <f t="shared" ca="1" si="34"/>
        <v>0</v>
      </c>
      <c r="AO93" s="207"/>
      <c r="AP93" s="207"/>
      <c r="AQ93" s="118"/>
    </row>
    <row r="94" spans="1:43" s="38" customFormat="1" ht="15" hidden="1" customHeight="1" outlineLevel="1" x14ac:dyDescent="0.2">
      <c r="A94" s="211" t="s">
        <v>45</v>
      </c>
      <c r="B94" s="40"/>
      <c r="C94" s="40"/>
      <c r="D94" s="40"/>
      <c r="E94" s="27"/>
      <c r="F94" s="40"/>
      <c r="G94" s="40"/>
      <c r="H94" s="40"/>
      <c r="I94" s="40"/>
      <c r="J94" s="27"/>
      <c r="K94" s="40"/>
      <c r="L94" s="27"/>
      <c r="M94" s="40"/>
      <c r="N94" s="40"/>
      <c r="O94" s="40"/>
      <c r="P94" s="40"/>
      <c r="Q94" s="27"/>
      <c r="R94" s="40"/>
      <c r="S94" s="27"/>
      <c r="T94" s="27"/>
      <c r="U94" s="40"/>
      <c r="V94" s="40"/>
      <c r="W94" s="40"/>
      <c r="X94" s="27"/>
      <c r="Y94" s="40"/>
      <c r="Z94" s="39"/>
      <c r="AA94" s="40"/>
      <c r="AB94" s="40"/>
      <c r="AC94" s="40"/>
      <c r="AD94" s="40"/>
      <c r="AE94" s="27"/>
      <c r="AF94" s="40"/>
      <c r="AG94" s="204" t="str">
        <f t="shared" si="33"/>
        <v>Nebenbeschäftigung</v>
      </c>
      <c r="AH94" s="217"/>
      <c r="AI94" s="237">
        <f t="shared" si="31"/>
        <v>0</v>
      </c>
      <c r="AJ94" s="259"/>
      <c r="AK94" s="260"/>
      <c r="AL94" s="243">
        <f ca="1">IF(EB.Anwendung&lt;&gt;"",IF(MONTH(Monat.Tag1)=1,0,IF(MONTH(Monat.Tag1)=2,Januar!Monat.NBUeVM,IF(MONTH(Monat.Tag1)=3,Februar!Monat.NBUeVM,IF(MONTH(Monat.Tag1)=4,März!Monat.NBUeVM,IF(MONTH(Monat.Tag1)=5,April!Monat.NBUeVM,IF(MONTH(Monat.Tag1)=6,Mai!Monat.NBUeVM,IF(MONTH(Monat.Tag1)=7,Juni!Monat.NBUeVM,IF(MONTH(Monat.Tag1)=8,Juli!Monat.NBUeVM,IF(MONTH(Monat.Tag1)=9,August!Monat.NBUeVM,IF(MONTH(Monat.Tag1)=10,September!Monat.NBUeVM,IF(MONTH(Monat.Tag1)=11,Oktober!Monat.NBUeVM,IF(MONTH(Monat.Tag1)=12,November!Monat.NBUeVM,"")))))))))))),"")</f>
        <v>0</v>
      </c>
      <c r="AM94" s="208"/>
      <c r="AN94" s="244">
        <f t="shared" ca="1" si="34"/>
        <v>0</v>
      </c>
      <c r="AO94" s="207"/>
      <c r="AP94" s="207"/>
      <c r="AQ94" s="118"/>
    </row>
    <row r="95" spans="1:43" s="38" customFormat="1" ht="15" customHeight="1" collapsed="1" x14ac:dyDescent="0.2">
      <c r="A95" s="211" t="s">
        <v>46</v>
      </c>
      <c r="B95" s="40"/>
      <c r="C95" s="40"/>
      <c r="D95" s="40"/>
      <c r="E95" s="27"/>
      <c r="F95" s="40"/>
      <c r="G95" s="40"/>
      <c r="H95" s="40"/>
      <c r="I95" s="40"/>
      <c r="J95" s="27"/>
      <c r="K95" s="40"/>
      <c r="L95" s="27"/>
      <c r="M95" s="40"/>
      <c r="N95" s="40"/>
      <c r="O95" s="40"/>
      <c r="P95" s="40"/>
      <c r="Q95" s="27"/>
      <c r="R95" s="40"/>
      <c r="S95" s="27"/>
      <c r="T95" s="27"/>
      <c r="U95" s="40"/>
      <c r="V95" s="40"/>
      <c r="W95" s="40"/>
      <c r="X95" s="27"/>
      <c r="Y95" s="40"/>
      <c r="Z95" s="39"/>
      <c r="AA95" s="40"/>
      <c r="AB95" s="40"/>
      <c r="AC95" s="40"/>
      <c r="AD95" s="40"/>
      <c r="AE95" s="27"/>
      <c r="AF95" s="40"/>
      <c r="AG95" s="204" t="str">
        <f t="shared" si="33"/>
        <v>DAG</v>
      </c>
      <c r="AH95" s="217"/>
      <c r="AI95" s="237">
        <f t="shared" si="31"/>
        <v>0</v>
      </c>
      <c r="AJ95" s="259"/>
      <c r="AK95" s="260"/>
      <c r="AL95" s="243">
        <f ca="1">IF(EB.Anwendung&lt;&gt;"",IF(MONTH(Monat.Tag1)=1,EB.DAG,IF(MONTH(Monat.Tag1)=2,Januar!Monat.DAGUeVM,IF(MONTH(Monat.Tag1)=3,Februar!Monat.DAGUeVM,IF(MONTH(Monat.Tag1)=4,März!Monat.DAGUeVM,IF(MONTH(Monat.Tag1)=5,April!Monat.DAGUeVM,IF(MONTH(Monat.Tag1)=6,Mai!Monat.DAGUeVM,IF(MONTH(Monat.Tag1)=7,Juni!Monat.DAGUeVM,IF(MONTH(Monat.Tag1)=8,Juli!Monat.DAGUeVM,IF(MONTH(Monat.Tag1)=9,August!Monat.DAGUeVM,IF(MONTH(Monat.Tag1)=10,September!Monat.DAGUeVM,IF(MONTH(Monat.Tag1)=11,Oktober!Monat.DAGUeVM,IF(MONTH(Monat.Tag1)=12,November!Monat.DAGUeVM,"")))))))))))),"")</f>
        <v>0</v>
      </c>
      <c r="AM95" s="208"/>
      <c r="AN95" s="244">
        <f ca="1">AL95-AI95</f>
        <v>0</v>
      </c>
      <c r="AO95" s="207"/>
      <c r="AP95" s="207"/>
      <c r="AQ95" s="118"/>
    </row>
    <row r="96" spans="1:43" s="38" customFormat="1" ht="11.25" customHeight="1" x14ac:dyDescent="0.2">
      <c r="A96" s="219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3"/>
      <c r="AG96" s="204"/>
      <c r="AH96" s="227"/>
      <c r="AI96" s="223"/>
      <c r="AJ96" s="276"/>
      <c r="AK96" s="260"/>
      <c r="AL96" s="260"/>
      <c r="AM96" s="208"/>
      <c r="AN96" s="277"/>
      <c r="AO96" s="212"/>
      <c r="AP96" s="212"/>
      <c r="AQ96" s="118"/>
    </row>
    <row r="97" spans="1:43" s="38" customFormat="1" ht="15" customHeight="1" x14ac:dyDescent="0.2">
      <c r="A97" s="214" t="str">
        <f t="shared" ref="A97:A111" ca="1" si="35">IF(ROW(A97)-ROW(INDEX(Monat.Projekte.Zeilen,1))+1&gt;EB.AnzProjekte,"",OFFSET(EB.Projekte.Knoten,ROW(A97)-ROW(INDEX(Monat.Projekte.Zeilen,1))+1,0,1,1))</f>
        <v/>
      </c>
      <c r="B97" s="40"/>
      <c r="C97" s="40"/>
      <c r="D97" s="40"/>
      <c r="E97" s="27"/>
      <c r="F97" s="40"/>
      <c r="G97" s="40"/>
      <c r="H97" s="40"/>
      <c r="I97" s="40"/>
      <c r="J97" s="27"/>
      <c r="K97" s="40"/>
      <c r="L97" s="27"/>
      <c r="M97" s="40"/>
      <c r="N97" s="40"/>
      <c r="O97" s="40"/>
      <c r="P97" s="40"/>
      <c r="Q97" s="27"/>
      <c r="R97" s="40"/>
      <c r="S97" s="27"/>
      <c r="T97" s="27"/>
      <c r="U97" s="40"/>
      <c r="V97" s="40"/>
      <c r="W97" s="40"/>
      <c r="X97" s="27"/>
      <c r="Y97" s="40"/>
      <c r="Z97" s="39"/>
      <c r="AA97" s="40"/>
      <c r="AB97" s="40"/>
      <c r="AC97" s="40"/>
      <c r="AD97" s="40"/>
      <c r="AE97" s="27"/>
      <c r="AF97" s="40"/>
      <c r="AG97" s="204" t="str">
        <f t="shared" ca="1" si="33"/>
        <v/>
      </c>
      <c r="AH97" s="232"/>
      <c r="AI97" s="283">
        <f>SUM(B97:AF97)</f>
        <v>0</v>
      </c>
      <c r="AJ97" s="259"/>
      <c r="AK97" s="223"/>
      <c r="AL97" s="243">
        <f ca="1">IF(EB.Anwendung&lt;&gt;"",IF(MONTH(Monat.Tag1)=1,0,IF(MONTH(Monat.Tag1)=2,Januar!Monat.P1UeVM,IF(MONTH(Monat.Tag1)=3,Februar!Monat.P1UeVM,IF(MONTH(Monat.Tag1)=4,März!Monat.P1UeVM,IF(MONTH(Monat.Tag1)=5,April!Monat.P1UeVM,IF(MONTH(Monat.Tag1)=6,Mai!Monat.P1UeVM,IF(MONTH(Monat.Tag1)=7,Juni!Monat.P1UeVM,IF(MONTH(Monat.Tag1)=8,Juli!Monat.P1UeVM,IF(MONTH(Monat.Tag1)=9,August!Monat.P1UeVM,IF(MONTH(Monat.Tag1)=10,September!Monat.P1UeVM,IF(MONTH(Monat.Tag1)=11,Oktober!Monat.P1UeVM,IF(MONTH(Monat.Tag1)=12,November!Monat.P1UeVM,"")))))))))))),"")</f>
        <v>0</v>
      </c>
      <c r="AM97" s="208"/>
      <c r="AN97" s="244">
        <f t="shared" ref="AN97:AN112" ca="1" si="36">AI97+AL97</f>
        <v>0</v>
      </c>
      <c r="AO97" s="207"/>
      <c r="AP97" s="207"/>
      <c r="AQ97" s="118"/>
    </row>
    <row r="98" spans="1:43" s="38" customFormat="1" ht="15" customHeight="1" x14ac:dyDescent="0.2">
      <c r="A98" s="214" t="str">
        <f t="shared" ca="1" si="35"/>
        <v/>
      </c>
      <c r="B98" s="40"/>
      <c r="C98" s="40"/>
      <c r="D98" s="40"/>
      <c r="E98" s="27"/>
      <c r="F98" s="40"/>
      <c r="G98" s="40"/>
      <c r="H98" s="40"/>
      <c r="I98" s="40"/>
      <c r="J98" s="27"/>
      <c r="K98" s="40"/>
      <c r="L98" s="27"/>
      <c r="M98" s="40"/>
      <c r="N98" s="40"/>
      <c r="O98" s="40"/>
      <c r="P98" s="40"/>
      <c r="Q98" s="27"/>
      <c r="R98" s="40"/>
      <c r="S98" s="27"/>
      <c r="T98" s="27"/>
      <c r="U98" s="40"/>
      <c r="V98" s="40"/>
      <c r="W98" s="40"/>
      <c r="X98" s="27"/>
      <c r="Y98" s="40"/>
      <c r="Z98" s="39"/>
      <c r="AA98" s="40"/>
      <c r="AB98" s="40"/>
      <c r="AC98" s="40"/>
      <c r="AD98" s="40"/>
      <c r="AE98" s="27"/>
      <c r="AF98" s="40"/>
      <c r="AG98" s="204" t="str">
        <f t="shared" ca="1" si="33"/>
        <v/>
      </c>
      <c r="AH98" s="217"/>
      <c r="AI98" s="237">
        <f>SUM(B98:AF98)</f>
        <v>0</v>
      </c>
      <c r="AJ98" s="259"/>
      <c r="AK98" s="223"/>
      <c r="AL98" s="243">
        <f ca="1">IF(EB.Anwendung&lt;&gt;"",IF(MONTH(Monat.Tag1)=1,0,IF(MONTH(Monat.Tag1)=2,Januar!Monat.P2UeVM,IF(MONTH(Monat.Tag1)=3,Februar!Monat.P2UeVM,IF(MONTH(Monat.Tag1)=4,März!Monat.P2UeVM,IF(MONTH(Monat.Tag1)=5,April!Monat.P2UeVM,IF(MONTH(Monat.Tag1)=6,Mai!Monat.P2UeVM,IF(MONTH(Monat.Tag1)=7,Juni!Monat.P2UeVM,IF(MONTH(Monat.Tag1)=8,Juli!Monat.P2UeVM,IF(MONTH(Monat.Tag1)=9,August!Monat.P2UeVM,IF(MONTH(Monat.Tag1)=10,September!Monat.P2UeVM,IF(MONTH(Monat.Tag1)=11,Oktober!Monat.P2UeVM,IF(MONTH(Monat.Tag1)=12,November!Monat.P2UeVM,"")))))))))))),"")</f>
        <v>0</v>
      </c>
      <c r="AM98" s="208"/>
      <c r="AN98" s="244">
        <f t="shared" ca="1" si="36"/>
        <v>0</v>
      </c>
      <c r="AO98" s="207"/>
      <c r="AP98" s="207"/>
      <c r="AQ98" s="118"/>
    </row>
    <row r="99" spans="1:43" s="38" customFormat="1" ht="15" customHeight="1" x14ac:dyDescent="0.2">
      <c r="A99" s="214" t="str">
        <f t="shared" ca="1" si="35"/>
        <v/>
      </c>
      <c r="B99" s="40"/>
      <c r="C99" s="40"/>
      <c r="D99" s="40"/>
      <c r="E99" s="27"/>
      <c r="F99" s="40"/>
      <c r="G99" s="40"/>
      <c r="H99" s="40"/>
      <c r="I99" s="40"/>
      <c r="J99" s="27"/>
      <c r="K99" s="40"/>
      <c r="L99" s="27"/>
      <c r="M99" s="40"/>
      <c r="N99" s="40"/>
      <c r="O99" s="40"/>
      <c r="P99" s="40"/>
      <c r="Q99" s="27"/>
      <c r="R99" s="40"/>
      <c r="S99" s="27"/>
      <c r="T99" s="27"/>
      <c r="U99" s="40"/>
      <c r="V99" s="40"/>
      <c r="W99" s="40"/>
      <c r="X99" s="27"/>
      <c r="Y99" s="40"/>
      <c r="Z99" s="39"/>
      <c r="AA99" s="40"/>
      <c r="AB99" s="40"/>
      <c r="AC99" s="40"/>
      <c r="AD99" s="40"/>
      <c r="AE99" s="27"/>
      <c r="AF99" s="40"/>
      <c r="AG99" s="204" t="str">
        <f t="shared" ca="1" si="33"/>
        <v/>
      </c>
      <c r="AH99" s="284"/>
      <c r="AI99" s="237">
        <f>SUM(B99:AF99)</f>
        <v>0</v>
      </c>
      <c r="AJ99" s="259"/>
      <c r="AK99" s="223"/>
      <c r="AL99" s="243">
        <f ca="1">IF(EB.Anwendung&lt;&gt;"",IF(MONTH(Monat.Tag1)=1,0,IF(MONTH(Monat.Tag1)=2,Januar!Monat.P3UeVM,IF(MONTH(Monat.Tag1)=3,Februar!Monat.P3UeVM,IF(MONTH(Monat.Tag1)=4,März!Monat.P3UeVM,IF(MONTH(Monat.Tag1)=5,April!Monat.P3UeVM,IF(MONTH(Monat.Tag1)=6,Mai!Monat.P3UeVM,IF(MONTH(Monat.Tag1)=7,Juni!Monat.P3UeVM,IF(MONTH(Monat.Tag1)=8,Juli!Monat.P3UeVM,IF(MONTH(Monat.Tag1)=9,August!Monat.P3UeVM,IF(MONTH(Monat.Tag1)=10,September!Monat.P3UeVM,IF(MONTH(Monat.Tag1)=11,Oktober!Monat.P3UeVM,IF(MONTH(Monat.Tag1)=12,November!Monat.P3UeVM,"")))))))))))),"")</f>
        <v>0</v>
      </c>
      <c r="AM99" s="208"/>
      <c r="AN99" s="244">
        <f t="shared" ca="1" si="36"/>
        <v>0</v>
      </c>
      <c r="AO99" s="207"/>
      <c r="AP99" s="207"/>
      <c r="AQ99" s="118"/>
    </row>
    <row r="100" spans="1:43" s="38" customFormat="1" ht="15" customHeight="1" x14ac:dyDescent="0.2">
      <c r="A100" s="214" t="str">
        <f t="shared" ca="1" si="35"/>
        <v/>
      </c>
      <c r="B100" s="40"/>
      <c r="C100" s="40"/>
      <c r="D100" s="40"/>
      <c r="E100" s="27"/>
      <c r="F100" s="40"/>
      <c r="G100" s="40"/>
      <c r="H100" s="40"/>
      <c r="I100" s="40"/>
      <c r="J100" s="27"/>
      <c r="K100" s="40"/>
      <c r="L100" s="27"/>
      <c r="M100" s="40"/>
      <c r="N100" s="40"/>
      <c r="O100" s="40"/>
      <c r="P100" s="40"/>
      <c r="Q100" s="27"/>
      <c r="R100" s="40"/>
      <c r="S100" s="27"/>
      <c r="T100" s="27"/>
      <c r="U100" s="40"/>
      <c r="V100" s="40"/>
      <c r="W100" s="40"/>
      <c r="X100" s="27"/>
      <c r="Y100" s="40"/>
      <c r="Z100" s="39"/>
      <c r="AA100" s="40"/>
      <c r="AB100" s="40"/>
      <c r="AC100" s="40"/>
      <c r="AD100" s="40"/>
      <c r="AE100" s="27"/>
      <c r="AF100" s="40"/>
      <c r="AG100" s="204" t="str">
        <f t="shared" ca="1" si="33"/>
        <v/>
      </c>
      <c r="AH100" s="227"/>
      <c r="AI100" s="237">
        <f t="shared" ref="AI100:AI112" si="37">SUM(B100:AF100)</f>
        <v>0</v>
      </c>
      <c r="AJ100" s="259"/>
      <c r="AK100" s="223"/>
      <c r="AL100" s="243">
        <f ca="1">IF(EB.Anwendung&lt;&gt;"",IF(MONTH(Monat.Tag1)=1,0,IF(MONTH(Monat.Tag1)=2,Januar!Monat.P4UeVM,IF(MONTH(Monat.Tag1)=3,Februar!Monat.P4UeVM,IF(MONTH(Monat.Tag1)=4,März!Monat.P4UeVM,IF(MONTH(Monat.Tag1)=5,April!Monat.P4UeVM,IF(MONTH(Monat.Tag1)=6,Mai!Monat.P4UeVM,IF(MONTH(Monat.Tag1)=7,Juni!Monat.P4UeVM,IF(MONTH(Monat.Tag1)=8,Juli!Monat.P4UeVM,IF(MONTH(Monat.Tag1)=9,August!Monat.P4UeVM,IF(MONTH(Monat.Tag1)=10,September!Monat.P4UeVM,IF(MONTH(Monat.Tag1)=11,Oktober!Monat.P4UeVM,IF(MONTH(Monat.Tag1)=12,November!Monat.P4UeVM,"")))))))))))),"")</f>
        <v>0</v>
      </c>
      <c r="AM100" s="208"/>
      <c r="AN100" s="244">
        <f t="shared" ca="1" si="36"/>
        <v>0</v>
      </c>
      <c r="AO100" s="207"/>
      <c r="AP100" s="207"/>
      <c r="AQ100" s="118"/>
    </row>
    <row r="101" spans="1:43" s="38" customFormat="1" ht="15" customHeight="1" x14ac:dyDescent="0.2">
      <c r="A101" s="214" t="str">
        <f t="shared" ca="1" si="35"/>
        <v/>
      </c>
      <c r="B101" s="40"/>
      <c r="C101" s="40"/>
      <c r="D101" s="40"/>
      <c r="E101" s="27"/>
      <c r="F101" s="40"/>
      <c r="G101" s="40"/>
      <c r="H101" s="40"/>
      <c r="I101" s="40"/>
      <c r="J101" s="27"/>
      <c r="K101" s="40"/>
      <c r="L101" s="27"/>
      <c r="M101" s="40"/>
      <c r="N101" s="40"/>
      <c r="O101" s="40"/>
      <c r="P101" s="40"/>
      <c r="Q101" s="27"/>
      <c r="R101" s="40"/>
      <c r="S101" s="27"/>
      <c r="T101" s="27"/>
      <c r="U101" s="40"/>
      <c r="V101" s="40"/>
      <c r="W101" s="40"/>
      <c r="X101" s="27"/>
      <c r="Y101" s="40"/>
      <c r="Z101" s="39"/>
      <c r="AA101" s="40"/>
      <c r="AB101" s="40"/>
      <c r="AC101" s="40"/>
      <c r="AD101" s="40"/>
      <c r="AE101" s="27"/>
      <c r="AF101" s="40"/>
      <c r="AG101" s="204" t="str">
        <f t="shared" ca="1" si="33"/>
        <v/>
      </c>
      <c r="AH101" s="217"/>
      <c r="AI101" s="237">
        <f t="shared" si="37"/>
        <v>0</v>
      </c>
      <c r="AJ101" s="259"/>
      <c r="AK101" s="223"/>
      <c r="AL101" s="243">
        <f ca="1">IF(EB.Anwendung&lt;&gt;"",IF(MONTH(Monat.Tag1)=1,0,IF(MONTH(Monat.Tag1)=2,Januar!Monat.P5UeVM,IF(MONTH(Monat.Tag1)=3,Februar!Monat.P5UeVM,IF(MONTH(Monat.Tag1)=4,März!Monat.P5UeVM,IF(MONTH(Monat.Tag1)=5,April!Monat.P5UeVM,IF(MONTH(Monat.Tag1)=6,Mai!Monat.P5UeVM,IF(MONTH(Monat.Tag1)=7,Juni!Monat.P5UeVM,IF(MONTH(Monat.Tag1)=8,Juli!Monat.P5UeVM,IF(MONTH(Monat.Tag1)=9,August!Monat.P5UeVM,IF(MONTH(Monat.Tag1)=10,September!Monat.P5UeVM,IF(MONTH(Monat.Tag1)=11,Oktober!Monat.P5UeVM,IF(MONTH(Monat.Tag1)=12,November!Monat.P5UeVM,"")))))))))))),"")</f>
        <v>0</v>
      </c>
      <c r="AM101" s="208"/>
      <c r="AN101" s="244">
        <f t="shared" ca="1" si="36"/>
        <v>0</v>
      </c>
      <c r="AO101" s="207"/>
      <c r="AP101" s="207"/>
      <c r="AQ101" s="118"/>
    </row>
    <row r="102" spans="1:43" s="38" customFormat="1" ht="15" hidden="1" customHeight="1" outlineLevel="1" x14ac:dyDescent="0.2">
      <c r="A102" s="214" t="str">
        <f t="shared" ca="1" si="35"/>
        <v/>
      </c>
      <c r="B102" s="40"/>
      <c r="C102" s="40"/>
      <c r="D102" s="40"/>
      <c r="E102" s="27"/>
      <c r="F102" s="40"/>
      <c r="G102" s="40"/>
      <c r="H102" s="40"/>
      <c r="I102" s="40"/>
      <c r="J102" s="27"/>
      <c r="K102" s="40"/>
      <c r="L102" s="27"/>
      <c r="M102" s="40"/>
      <c r="N102" s="40"/>
      <c r="O102" s="40"/>
      <c r="P102" s="40"/>
      <c r="Q102" s="27"/>
      <c r="R102" s="40"/>
      <c r="S102" s="27"/>
      <c r="T102" s="27"/>
      <c r="U102" s="40"/>
      <c r="V102" s="40"/>
      <c r="W102" s="40"/>
      <c r="X102" s="27"/>
      <c r="Y102" s="40"/>
      <c r="Z102" s="39"/>
      <c r="AA102" s="40"/>
      <c r="AB102" s="40"/>
      <c r="AC102" s="40"/>
      <c r="AD102" s="40"/>
      <c r="AE102" s="27"/>
      <c r="AF102" s="40"/>
      <c r="AG102" s="204" t="str">
        <f t="shared" ca="1" si="33"/>
        <v/>
      </c>
      <c r="AH102" s="284"/>
      <c r="AI102" s="237">
        <f t="shared" si="37"/>
        <v>0</v>
      </c>
      <c r="AJ102" s="259"/>
      <c r="AK102" s="223"/>
      <c r="AL102" s="243">
        <f ca="1">IF(EB.Anwendung&lt;&gt;"",IF(MONTH(Monat.Tag1)=1,0,IF(MONTH(Monat.Tag1)=2,Januar!Monat.P6UeVM,IF(MONTH(Monat.Tag1)=3,Februar!Monat.P6UeVM,IF(MONTH(Monat.Tag1)=4,März!Monat.P6UeVM,IF(MONTH(Monat.Tag1)=5,April!Monat.P6UeVM,IF(MONTH(Monat.Tag1)=6,Mai!Monat.P6UeVM,IF(MONTH(Monat.Tag1)=7,Juni!Monat.P6UeVM,IF(MONTH(Monat.Tag1)=8,Juli!Monat.P6UeVM,IF(MONTH(Monat.Tag1)=9,August!Monat.P6UeVM,IF(MONTH(Monat.Tag1)=10,September!Monat.P6UeVM,IF(MONTH(Monat.Tag1)=11,Oktober!Monat.P6UeVM,IF(MONTH(Monat.Tag1)=12,November!Monat.P6UeVM,"")))))))))))),"")</f>
        <v>0</v>
      </c>
      <c r="AM102" s="208"/>
      <c r="AN102" s="244">
        <f t="shared" ca="1" si="36"/>
        <v>0</v>
      </c>
      <c r="AO102" s="207"/>
      <c r="AP102" s="207"/>
      <c r="AQ102" s="118"/>
    </row>
    <row r="103" spans="1:43" s="38" customFormat="1" ht="15" hidden="1" customHeight="1" outlineLevel="1" x14ac:dyDescent="0.2">
      <c r="A103" s="214" t="str">
        <f t="shared" ca="1" si="35"/>
        <v/>
      </c>
      <c r="B103" s="40"/>
      <c r="C103" s="40"/>
      <c r="D103" s="40"/>
      <c r="E103" s="27"/>
      <c r="F103" s="40"/>
      <c r="G103" s="40"/>
      <c r="H103" s="40"/>
      <c r="I103" s="40"/>
      <c r="J103" s="27"/>
      <c r="K103" s="40"/>
      <c r="L103" s="27"/>
      <c r="M103" s="40"/>
      <c r="N103" s="40"/>
      <c r="O103" s="40"/>
      <c r="P103" s="40"/>
      <c r="Q103" s="27"/>
      <c r="R103" s="40"/>
      <c r="S103" s="27"/>
      <c r="T103" s="27"/>
      <c r="U103" s="40"/>
      <c r="V103" s="40"/>
      <c r="W103" s="40"/>
      <c r="X103" s="27"/>
      <c r="Y103" s="40"/>
      <c r="Z103" s="39"/>
      <c r="AA103" s="40"/>
      <c r="AB103" s="40"/>
      <c r="AC103" s="40"/>
      <c r="AD103" s="40"/>
      <c r="AE103" s="27"/>
      <c r="AF103" s="40"/>
      <c r="AG103" s="204" t="str">
        <f ca="1">A103</f>
        <v/>
      </c>
      <c r="AH103" s="227"/>
      <c r="AI103" s="237">
        <f>SUM(B103:AF103)</f>
        <v>0</v>
      </c>
      <c r="AJ103" s="259"/>
      <c r="AK103" s="223"/>
      <c r="AL103" s="243">
        <f ca="1">IF(EB.Anwendung&lt;&gt;"",IF(MONTH(Monat.Tag1)=1,0,IF(MONTH(Monat.Tag1)=2,Januar!Monat.P7UeVM,IF(MONTH(Monat.Tag1)=3,Februar!Monat.P7UeVM,IF(MONTH(Monat.Tag1)=4,März!Monat.P7UeVM,IF(MONTH(Monat.Tag1)=5,April!Monat.P7UeVM,IF(MONTH(Monat.Tag1)=6,Mai!Monat.P7UeVM,IF(MONTH(Monat.Tag1)=7,Juni!Monat.P7UeVM,IF(MONTH(Monat.Tag1)=8,Juli!Monat.P7UeVM,IF(MONTH(Monat.Tag1)=9,August!Monat.P7UeVM,IF(MONTH(Monat.Tag1)=10,September!Monat.P7UeVM,IF(MONTH(Monat.Tag1)=11,Oktober!Monat.P7UeVM,IF(MONTH(Monat.Tag1)=12,November!Monat.P7UeVM,"")))))))))))),"")</f>
        <v>0</v>
      </c>
      <c r="AM103" s="208"/>
      <c r="AN103" s="244">
        <f t="shared" ca="1" si="36"/>
        <v>0</v>
      </c>
      <c r="AO103" s="207"/>
      <c r="AP103" s="207"/>
      <c r="AQ103" s="118"/>
    </row>
    <row r="104" spans="1:43" s="38" customFormat="1" ht="15" hidden="1" customHeight="1" outlineLevel="1" x14ac:dyDescent="0.2">
      <c r="A104" s="214" t="str">
        <f t="shared" ca="1" si="35"/>
        <v/>
      </c>
      <c r="B104" s="40"/>
      <c r="C104" s="40"/>
      <c r="D104" s="40"/>
      <c r="E104" s="27"/>
      <c r="F104" s="40"/>
      <c r="G104" s="40"/>
      <c r="H104" s="40"/>
      <c r="I104" s="40"/>
      <c r="J104" s="27"/>
      <c r="K104" s="40"/>
      <c r="L104" s="27"/>
      <c r="M104" s="40"/>
      <c r="N104" s="40"/>
      <c r="O104" s="40"/>
      <c r="P104" s="40"/>
      <c r="Q104" s="27"/>
      <c r="R104" s="40"/>
      <c r="S104" s="27"/>
      <c r="T104" s="27"/>
      <c r="U104" s="40"/>
      <c r="V104" s="40"/>
      <c r="W104" s="40"/>
      <c r="X104" s="27"/>
      <c r="Y104" s="40"/>
      <c r="Z104" s="39"/>
      <c r="AA104" s="40"/>
      <c r="AB104" s="40"/>
      <c r="AC104" s="40"/>
      <c r="AD104" s="40"/>
      <c r="AE104" s="27"/>
      <c r="AF104" s="40"/>
      <c r="AG104" s="204" t="str">
        <f t="shared" ca="1" si="33"/>
        <v/>
      </c>
      <c r="AH104" s="232"/>
      <c r="AI104" s="237">
        <f t="shared" si="37"/>
        <v>0</v>
      </c>
      <c r="AJ104" s="259"/>
      <c r="AK104" s="223"/>
      <c r="AL104" s="243">
        <f ca="1">IF(EB.Anwendung&lt;&gt;"",IF(MONTH(Monat.Tag1)=1,0,IF(MONTH(Monat.Tag1)=2,Januar!Monat.P8UeVM,IF(MONTH(Monat.Tag1)=3,Februar!Monat.P8UeVM,IF(MONTH(Monat.Tag1)=4,März!Monat.P8UeVM,IF(MONTH(Monat.Tag1)=5,April!Monat.P8UeVM,IF(MONTH(Monat.Tag1)=6,Mai!Monat.P8UeVM,IF(MONTH(Monat.Tag1)=7,Juni!Monat.P8UeVM,IF(MONTH(Monat.Tag1)=8,Juli!Monat.P8UeVM,IF(MONTH(Monat.Tag1)=9,August!Monat.P8UeVM,IF(MONTH(Monat.Tag1)=10,September!Monat.P8UeVM,IF(MONTH(Monat.Tag1)=11,Oktober!Monat.P8UeVM,IF(MONTH(Monat.Tag1)=12,November!Monat.P8UeVM,"")))))))))))),"")</f>
        <v>0</v>
      </c>
      <c r="AM104" s="208"/>
      <c r="AN104" s="244">
        <f t="shared" ca="1" si="36"/>
        <v>0</v>
      </c>
      <c r="AO104" s="207"/>
      <c r="AP104" s="207"/>
      <c r="AQ104" s="118"/>
    </row>
    <row r="105" spans="1:43" s="38" customFormat="1" ht="15" hidden="1" customHeight="1" outlineLevel="1" x14ac:dyDescent="0.2">
      <c r="A105" s="214" t="str">
        <f t="shared" ca="1" si="35"/>
        <v/>
      </c>
      <c r="B105" s="40"/>
      <c r="C105" s="40"/>
      <c r="D105" s="40"/>
      <c r="E105" s="27"/>
      <c r="F105" s="40"/>
      <c r="G105" s="40"/>
      <c r="H105" s="40"/>
      <c r="I105" s="40"/>
      <c r="J105" s="27"/>
      <c r="K105" s="40"/>
      <c r="L105" s="27"/>
      <c r="M105" s="40"/>
      <c r="N105" s="40"/>
      <c r="O105" s="40"/>
      <c r="P105" s="40"/>
      <c r="Q105" s="27"/>
      <c r="R105" s="40"/>
      <c r="S105" s="27"/>
      <c r="T105" s="27"/>
      <c r="U105" s="40"/>
      <c r="V105" s="40"/>
      <c r="W105" s="40"/>
      <c r="X105" s="27"/>
      <c r="Y105" s="40"/>
      <c r="Z105" s="39"/>
      <c r="AA105" s="40"/>
      <c r="AB105" s="40"/>
      <c r="AC105" s="40"/>
      <c r="AD105" s="40"/>
      <c r="AE105" s="27"/>
      <c r="AF105" s="40"/>
      <c r="AG105" s="204" t="str">
        <f t="shared" ca="1" si="33"/>
        <v/>
      </c>
      <c r="AH105" s="217"/>
      <c r="AI105" s="237">
        <f t="shared" si="37"/>
        <v>0</v>
      </c>
      <c r="AJ105" s="259"/>
      <c r="AK105" s="223"/>
      <c r="AL105" s="243">
        <f ca="1">IF(EB.Anwendung&lt;&gt;"",IF(MONTH(Monat.Tag1)=1,0,IF(MONTH(Monat.Tag1)=2,Januar!Monat.P9UeVM,IF(MONTH(Monat.Tag1)=3,Februar!Monat.P9UeVM,IF(MONTH(Monat.Tag1)=4,März!Monat.P9UeVM,IF(MONTH(Monat.Tag1)=5,April!Monat.P9UeVM,IF(MONTH(Monat.Tag1)=6,Mai!Monat.P9UeVM,IF(MONTH(Monat.Tag1)=7,Juni!Monat.P9UeVM,IF(MONTH(Monat.Tag1)=8,Juli!Monat.P9UeVM,IF(MONTH(Monat.Tag1)=9,August!Monat.P9UeVM,IF(MONTH(Monat.Tag1)=10,September!Monat.P9UeVM,IF(MONTH(Monat.Tag1)=11,Oktober!Monat.P9UeVM,IF(MONTH(Monat.Tag1)=12,November!Monat.P9UeVM,"")))))))))))),"")</f>
        <v>0</v>
      </c>
      <c r="AM105" s="208"/>
      <c r="AN105" s="244">
        <f t="shared" ca="1" si="36"/>
        <v>0</v>
      </c>
      <c r="AO105" s="207"/>
      <c r="AP105" s="207"/>
      <c r="AQ105" s="118"/>
    </row>
    <row r="106" spans="1:43" s="38" customFormat="1" ht="15" hidden="1" customHeight="1" outlineLevel="1" x14ac:dyDescent="0.2">
      <c r="A106" s="214" t="str">
        <f t="shared" ca="1" si="35"/>
        <v/>
      </c>
      <c r="B106" s="40"/>
      <c r="C106" s="40"/>
      <c r="D106" s="40"/>
      <c r="E106" s="27"/>
      <c r="F106" s="40"/>
      <c r="G106" s="40"/>
      <c r="H106" s="40"/>
      <c r="I106" s="40"/>
      <c r="J106" s="27"/>
      <c r="K106" s="40"/>
      <c r="L106" s="27"/>
      <c r="M106" s="40"/>
      <c r="N106" s="40"/>
      <c r="O106" s="40"/>
      <c r="P106" s="40"/>
      <c r="Q106" s="27"/>
      <c r="R106" s="40"/>
      <c r="S106" s="27"/>
      <c r="T106" s="27"/>
      <c r="U106" s="40"/>
      <c r="V106" s="40"/>
      <c r="W106" s="40"/>
      <c r="X106" s="27"/>
      <c r="Y106" s="40"/>
      <c r="Z106" s="39"/>
      <c r="AA106" s="40"/>
      <c r="AB106" s="40"/>
      <c r="AC106" s="40"/>
      <c r="AD106" s="40"/>
      <c r="AE106" s="27"/>
      <c r="AF106" s="40"/>
      <c r="AG106" s="204" t="str">
        <f t="shared" ca="1" si="33"/>
        <v/>
      </c>
      <c r="AH106" s="217"/>
      <c r="AI106" s="237">
        <f t="shared" si="37"/>
        <v>0</v>
      </c>
      <c r="AJ106" s="259"/>
      <c r="AK106" s="223"/>
      <c r="AL106" s="243">
        <f ca="1">IF(EB.Anwendung&lt;&gt;"",IF(MONTH(Monat.Tag1)=1,0,IF(MONTH(Monat.Tag1)=2,Januar!Monat.P10UeVM,IF(MONTH(Monat.Tag1)=3,Februar!Monat.P10UeVM,IF(MONTH(Monat.Tag1)=4,März!Monat.P10UeVM,IF(MONTH(Monat.Tag1)=5,April!Monat.P10UeVM,IF(MONTH(Monat.Tag1)=6,Mai!Monat.P10UeVM,IF(MONTH(Monat.Tag1)=7,Juni!Monat.P10UeVM,IF(MONTH(Monat.Tag1)=8,Juli!Monat.P10UeVM,IF(MONTH(Monat.Tag1)=9,August!Monat.P10UeVM,IF(MONTH(Monat.Tag1)=10,September!Monat.P10UeVM,IF(MONTH(Monat.Tag1)=11,Oktober!Monat.P10UeVM,IF(MONTH(Monat.Tag1)=12,November!Monat.P10UeVM,"")))))))))))),"")</f>
        <v>0</v>
      </c>
      <c r="AM106" s="208"/>
      <c r="AN106" s="244">
        <f t="shared" ca="1" si="36"/>
        <v>0</v>
      </c>
      <c r="AO106" s="207"/>
      <c r="AP106" s="207"/>
      <c r="AQ106" s="118"/>
    </row>
    <row r="107" spans="1:43" s="38" customFormat="1" ht="15" hidden="1" customHeight="1" outlineLevel="1" x14ac:dyDescent="0.2">
      <c r="A107" s="214" t="str">
        <f t="shared" ca="1" si="35"/>
        <v/>
      </c>
      <c r="B107" s="40"/>
      <c r="C107" s="40"/>
      <c r="D107" s="40"/>
      <c r="E107" s="27"/>
      <c r="F107" s="40"/>
      <c r="G107" s="40"/>
      <c r="H107" s="40"/>
      <c r="I107" s="40"/>
      <c r="J107" s="27"/>
      <c r="K107" s="40"/>
      <c r="L107" s="27"/>
      <c r="M107" s="40"/>
      <c r="N107" s="40"/>
      <c r="O107" s="40"/>
      <c r="P107" s="40"/>
      <c r="Q107" s="27"/>
      <c r="R107" s="40"/>
      <c r="S107" s="27"/>
      <c r="T107" s="27"/>
      <c r="U107" s="40"/>
      <c r="V107" s="40"/>
      <c r="W107" s="40"/>
      <c r="X107" s="27"/>
      <c r="Y107" s="40"/>
      <c r="Z107" s="39"/>
      <c r="AA107" s="40"/>
      <c r="AB107" s="40"/>
      <c r="AC107" s="40"/>
      <c r="AD107" s="40"/>
      <c r="AE107" s="27"/>
      <c r="AF107" s="40"/>
      <c r="AG107" s="204" t="str">
        <f ca="1">A107</f>
        <v/>
      </c>
      <c r="AH107" s="232"/>
      <c r="AI107" s="237">
        <f t="shared" si="37"/>
        <v>0</v>
      </c>
      <c r="AJ107" s="259"/>
      <c r="AK107" s="223"/>
      <c r="AL107" s="243">
        <f ca="1">IF(EB.Anwendung&lt;&gt;"",IF(MONTH(Monat.Tag1)=1,0,IF(MONTH(Monat.Tag1)=2,Januar!Monat.P11UeVM,IF(MONTH(Monat.Tag1)=3,Februar!Monat.P11UeVM,IF(MONTH(Monat.Tag1)=4,März!Monat.P11UeVM,IF(MONTH(Monat.Tag1)=5,April!Monat.P11UeVM,IF(MONTH(Monat.Tag1)=6,Mai!Monat.P11UeVM,IF(MONTH(Monat.Tag1)=7,Juni!Monat.P11UeVM,IF(MONTH(Monat.Tag1)=8,Juli!Monat.P11UeVM,IF(MONTH(Monat.Tag1)=9,August!Monat.P11UeVM,IF(MONTH(Monat.Tag1)=10,September!Monat.P11UeVM,IF(MONTH(Monat.Tag1)=11,Oktober!Monat.P11UeVM,IF(MONTH(Monat.Tag1)=12,November!Monat.P11UeVM,"")))))))))))),"")</f>
        <v>0</v>
      </c>
      <c r="AM107" s="208"/>
      <c r="AN107" s="244">
        <f t="shared" ca="1" si="36"/>
        <v>0</v>
      </c>
      <c r="AO107" s="285"/>
      <c r="AP107" s="285"/>
      <c r="AQ107" s="118"/>
    </row>
    <row r="108" spans="1:43" s="49" customFormat="1" ht="15" hidden="1" customHeight="1" outlineLevel="1" x14ac:dyDescent="0.2">
      <c r="A108" s="214" t="str">
        <f t="shared" ca="1" si="35"/>
        <v/>
      </c>
      <c r="B108" s="40"/>
      <c r="C108" s="40"/>
      <c r="D108" s="40"/>
      <c r="E108" s="27"/>
      <c r="F108" s="40"/>
      <c r="G108" s="40"/>
      <c r="H108" s="40"/>
      <c r="I108" s="40"/>
      <c r="J108" s="27"/>
      <c r="K108" s="40"/>
      <c r="L108" s="27"/>
      <c r="M108" s="40"/>
      <c r="N108" s="40"/>
      <c r="O108" s="40"/>
      <c r="P108" s="40"/>
      <c r="Q108" s="27"/>
      <c r="R108" s="40"/>
      <c r="S108" s="27"/>
      <c r="T108" s="27"/>
      <c r="U108" s="40"/>
      <c r="V108" s="40"/>
      <c r="W108" s="40"/>
      <c r="X108" s="27"/>
      <c r="Y108" s="40"/>
      <c r="Z108" s="39"/>
      <c r="AA108" s="40"/>
      <c r="AB108" s="40"/>
      <c r="AC108" s="40"/>
      <c r="AD108" s="40"/>
      <c r="AE108" s="27"/>
      <c r="AF108" s="40"/>
      <c r="AG108" s="204" t="str">
        <f t="shared" ca="1" si="33"/>
        <v/>
      </c>
      <c r="AH108" s="232"/>
      <c r="AI108" s="237">
        <f t="shared" si="37"/>
        <v>0</v>
      </c>
      <c r="AJ108" s="259"/>
      <c r="AK108" s="223"/>
      <c r="AL108" s="243">
        <f ca="1">IF(EB.Anwendung&lt;&gt;"",IF(MONTH(Monat.Tag1)=1,0,IF(MONTH(Monat.Tag1)=2,Januar!Monat.P12UeVM,IF(MONTH(Monat.Tag1)=3,Februar!Monat.P12UeVM,IF(MONTH(Monat.Tag1)=4,März!Monat.P12UeVM,IF(MONTH(Monat.Tag1)=5,April!Monat.P12UeVM,IF(MONTH(Monat.Tag1)=6,Mai!Monat.P12UeVM,IF(MONTH(Monat.Tag1)=7,Juni!Monat.P12UeVM,IF(MONTH(Monat.Tag1)=8,Juli!Monat.P12UeVM,IF(MONTH(Monat.Tag1)=9,August!Monat.P12UeVM,IF(MONTH(Monat.Tag1)=10,September!Monat.P12UeVM,IF(MONTH(Monat.Tag1)=11,Oktober!Monat.P12UeVM,IF(MONTH(Monat.Tag1)=12,November!Monat.P12UeVM,"")))))))))))),"")</f>
        <v>0</v>
      </c>
      <c r="AM108" s="208"/>
      <c r="AN108" s="244">
        <f t="shared" ca="1" si="36"/>
        <v>0</v>
      </c>
      <c r="AO108" s="285"/>
      <c r="AP108" s="285"/>
      <c r="AQ108" s="286"/>
    </row>
    <row r="109" spans="1:43" s="49" customFormat="1" ht="15" hidden="1" customHeight="1" outlineLevel="1" x14ac:dyDescent="0.2">
      <c r="A109" s="214" t="str">
        <f t="shared" ca="1" si="35"/>
        <v/>
      </c>
      <c r="B109" s="40"/>
      <c r="C109" s="40"/>
      <c r="D109" s="40"/>
      <c r="E109" s="27"/>
      <c r="F109" s="40"/>
      <c r="G109" s="40"/>
      <c r="H109" s="40"/>
      <c r="I109" s="40"/>
      <c r="J109" s="27"/>
      <c r="K109" s="40"/>
      <c r="L109" s="27"/>
      <c r="M109" s="40"/>
      <c r="N109" s="40"/>
      <c r="O109" s="40"/>
      <c r="P109" s="40"/>
      <c r="Q109" s="27"/>
      <c r="R109" s="40"/>
      <c r="S109" s="27"/>
      <c r="T109" s="27"/>
      <c r="U109" s="40"/>
      <c r="V109" s="40"/>
      <c r="W109" s="40"/>
      <c r="X109" s="27"/>
      <c r="Y109" s="40"/>
      <c r="Z109" s="39"/>
      <c r="AA109" s="40"/>
      <c r="AB109" s="40"/>
      <c r="AC109" s="40"/>
      <c r="AD109" s="40"/>
      <c r="AE109" s="27"/>
      <c r="AF109" s="40"/>
      <c r="AG109" s="204" t="str">
        <f t="shared" ca="1" si="33"/>
        <v/>
      </c>
      <c r="AH109" s="217"/>
      <c r="AI109" s="237">
        <f t="shared" si="37"/>
        <v>0</v>
      </c>
      <c r="AJ109" s="259"/>
      <c r="AK109" s="223"/>
      <c r="AL109" s="243">
        <f ca="1">IF(EB.Anwendung&lt;&gt;"",IF(MONTH(Monat.Tag1)=1,0,IF(MONTH(Monat.Tag1)=2,Januar!Monat.P13UeVM,IF(MONTH(Monat.Tag1)=3,Februar!Monat.P13UeVM,IF(MONTH(Monat.Tag1)=4,März!Monat.P13UeVM,IF(MONTH(Monat.Tag1)=5,April!Monat.P13UeVM,IF(MONTH(Monat.Tag1)=6,Mai!Monat.P13UeVM,IF(MONTH(Monat.Tag1)=7,Juni!Monat.P13UeVM,IF(MONTH(Monat.Tag1)=8,Juli!Monat.P13UeVM,IF(MONTH(Monat.Tag1)=9,August!Monat.P13UeVM,IF(MONTH(Monat.Tag1)=10,September!Monat.P13UeVM,IF(MONTH(Monat.Tag1)=11,Oktober!Monat.P13UeVM,IF(MONTH(Monat.Tag1)=12,November!Monat.P13UeVM,"")))))))))))),"")</f>
        <v>0</v>
      </c>
      <c r="AM109" s="208"/>
      <c r="AN109" s="244">
        <f t="shared" ca="1" si="36"/>
        <v>0</v>
      </c>
      <c r="AO109" s="285"/>
      <c r="AP109" s="285"/>
      <c r="AQ109" s="286"/>
    </row>
    <row r="110" spans="1:43" ht="15" hidden="1" customHeight="1" outlineLevel="1" x14ac:dyDescent="0.2">
      <c r="A110" s="214" t="str">
        <f t="shared" ca="1" si="35"/>
        <v/>
      </c>
      <c r="B110" s="40"/>
      <c r="C110" s="40"/>
      <c r="D110" s="40"/>
      <c r="E110" s="27"/>
      <c r="F110" s="40"/>
      <c r="G110" s="40"/>
      <c r="H110" s="40"/>
      <c r="I110" s="40"/>
      <c r="J110" s="27"/>
      <c r="K110" s="40"/>
      <c r="L110" s="27"/>
      <c r="M110" s="40"/>
      <c r="N110" s="40"/>
      <c r="O110" s="40"/>
      <c r="P110" s="40"/>
      <c r="Q110" s="27"/>
      <c r="R110" s="40"/>
      <c r="S110" s="27"/>
      <c r="T110" s="27"/>
      <c r="U110" s="40"/>
      <c r="V110" s="40"/>
      <c r="W110" s="40"/>
      <c r="X110" s="27"/>
      <c r="Y110" s="40"/>
      <c r="Z110" s="39"/>
      <c r="AA110" s="40"/>
      <c r="AB110" s="40"/>
      <c r="AC110" s="40"/>
      <c r="AD110" s="40"/>
      <c r="AE110" s="27"/>
      <c r="AF110" s="40"/>
      <c r="AG110" s="204" t="str">
        <f t="shared" ca="1" si="33"/>
        <v/>
      </c>
      <c r="AH110" s="217"/>
      <c r="AI110" s="237">
        <f t="shared" si="37"/>
        <v>0</v>
      </c>
      <c r="AJ110" s="259"/>
      <c r="AK110" s="223"/>
      <c r="AL110" s="243">
        <f ca="1">IF(EB.Anwendung&lt;&gt;"",IF(MONTH(Monat.Tag1)=1,0,IF(MONTH(Monat.Tag1)=2,Januar!Monat.P14UeVM,IF(MONTH(Monat.Tag1)=3,Februar!Monat.P14UeVM,IF(MONTH(Monat.Tag1)=4,März!Monat.P14UeVM,IF(MONTH(Monat.Tag1)=5,April!Monat.P14UeVM,IF(MONTH(Monat.Tag1)=6,Mai!Monat.P14UeVM,IF(MONTH(Monat.Tag1)=7,Juni!Monat.P14UeVM,IF(MONTH(Monat.Tag1)=8,Juli!Monat.P14UeVM,IF(MONTH(Monat.Tag1)=9,August!Monat.P14UeVM,IF(MONTH(Monat.Tag1)=10,September!Monat.P14UeVM,IF(MONTH(Monat.Tag1)=11,Oktober!Monat.P14UeVM,IF(MONTH(Monat.Tag1)=12,November!Monat.P14UeVM,"")))))))))))),"")</f>
        <v>0</v>
      </c>
      <c r="AM110" s="208"/>
      <c r="AN110" s="244">
        <f t="shared" ca="1" si="36"/>
        <v>0</v>
      </c>
      <c r="AO110" s="285"/>
      <c r="AP110" s="285"/>
      <c r="AQ110" s="122"/>
    </row>
    <row r="111" spans="1:43" ht="15" hidden="1" customHeight="1" outlineLevel="1" x14ac:dyDescent="0.2">
      <c r="A111" s="214" t="str">
        <f t="shared" ca="1" si="35"/>
        <v/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7"/>
      <c r="AA111" s="40"/>
      <c r="AB111" s="40"/>
      <c r="AC111" s="40"/>
      <c r="AD111" s="40"/>
      <c r="AE111" s="40"/>
      <c r="AF111" s="40"/>
      <c r="AG111" s="204" t="str">
        <f t="shared" ca="1" si="33"/>
        <v/>
      </c>
      <c r="AH111" s="217"/>
      <c r="AI111" s="237">
        <f t="shared" si="37"/>
        <v>0</v>
      </c>
      <c r="AJ111" s="259"/>
      <c r="AK111" s="223"/>
      <c r="AL111" s="243">
        <f ca="1">IF(EB.Anwendung&lt;&gt;"",IF(MONTH(Monat.Tag1)=1,0,IF(MONTH(Monat.Tag1)=2,Januar!Monat.P15UeVM,IF(MONTH(Monat.Tag1)=3,Februar!Monat.P15UeVM,IF(MONTH(Monat.Tag1)=4,März!Monat.P15UeVM,IF(MONTH(Monat.Tag1)=5,April!Monat.P15UeVM,IF(MONTH(Monat.Tag1)=6,Mai!Monat.P15UeVM,IF(MONTH(Monat.Tag1)=7,Juni!Monat.P15UeVM,IF(MONTH(Monat.Tag1)=8,Juli!Monat.P15UeVM,IF(MONTH(Monat.Tag1)=9,August!Monat.P15UeVM,IF(MONTH(Monat.Tag1)=10,September!Monat.P15UeVM,IF(MONTH(Monat.Tag1)=11,Oktober!Monat.P15UeVM,IF(MONTH(Monat.Tag1)=12,November!Monat.P15UeVM,"")))))))))))),"")</f>
        <v>0</v>
      </c>
      <c r="AM111" s="208"/>
      <c r="AN111" s="244">
        <f t="shared" ca="1" si="36"/>
        <v>0</v>
      </c>
      <c r="AO111" s="285"/>
      <c r="AP111" s="285"/>
      <c r="AQ111" s="122"/>
    </row>
    <row r="112" spans="1:43" ht="15" customHeight="1" collapsed="1" x14ac:dyDescent="0.2">
      <c r="A112" s="214" t="s">
        <v>188</v>
      </c>
      <c r="B112" s="235">
        <f>SUM(B97:B111)</f>
        <v>0</v>
      </c>
      <c r="C112" s="235">
        <f t="shared" ref="C112:AF112" si="38">SUM(C97:C111)</f>
        <v>0</v>
      </c>
      <c r="D112" s="235">
        <f t="shared" si="38"/>
        <v>0</v>
      </c>
      <c r="E112" s="235">
        <f t="shared" si="38"/>
        <v>0</v>
      </c>
      <c r="F112" s="235">
        <f t="shared" si="38"/>
        <v>0</v>
      </c>
      <c r="G112" s="235">
        <f t="shared" si="38"/>
        <v>0</v>
      </c>
      <c r="H112" s="235">
        <f t="shared" si="38"/>
        <v>0</v>
      </c>
      <c r="I112" s="235">
        <f t="shared" si="38"/>
        <v>0</v>
      </c>
      <c r="J112" s="235">
        <f t="shared" si="38"/>
        <v>0</v>
      </c>
      <c r="K112" s="235">
        <f t="shared" si="38"/>
        <v>0</v>
      </c>
      <c r="L112" s="235">
        <f t="shared" si="38"/>
        <v>0</v>
      </c>
      <c r="M112" s="235">
        <f t="shared" si="38"/>
        <v>0</v>
      </c>
      <c r="N112" s="235">
        <f t="shared" si="38"/>
        <v>0</v>
      </c>
      <c r="O112" s="235">
        <f t="shared" si="38"/>
        <v>0</v>
      </c>
      <c r="P112" s="235">
        <f t="shared" si="38"/>
        <v>0</v>
      </c>
      <c r="Q112" s="235">
        <f t="shared" si="38"/>
        <v>0</v>
      </c>
      <c r="R112" s="235">
        <f t="shared" si="38"/>
        <v>0</v>
      </c>
      <c r="S112" s="235">
        <f t="shared" si="38"/>
        <v>0</v>
      </c>
      <c r="T112" s="235">
        <f t="shared" si="38"/>
        <v>0</v>
      </c>
      <c r="U112" s="235">
        <f t="shared" si="38"/>
        <v>0</v>
      </c>
      <c r="V112" s="235">
        <f t="shared" si="38"/>
        <v>0</v>
      </c>
      <c r="W112" s="235">
        <f t="shared" si="38"/>
        <v>0</v>
      </c>
      <c r="X112" s="235">
        <f t="shared" si="38"/>
        <v>0</v>
      </c>
      <c r="Y112" s="235">
        <f t="shared" si="38"/>
        <v>0</v>
      </c>
      <c r="Z112" s="235">
        <f t="shared" si="38"/>
        <v>0</v>
      </c>
      <c r="AA112" s="235">
        <f t="shared" si="38"/>
        <v>0</v>
      </c>
      <c r="AB112" s="235">
        <f t="shared" si="38"/>
        <v>0</v>
      </c>
      <c r="AC112" s="235">
        <f t="shared" si="38"/>
        <v>0</v>
      </c>
      <c r="AD112" s="235">
        <f t="shared" si="38"/>
        <v>0</v>
      </c>
      <c r="AE112" s="235">
        <f t="shared" si="38"/>
        <v>0</v>
      </c>
      <c r="AF112" s="235">
        <f t="shared" si="38"/>
        <v>0</v>
      </c>
      <c r="AG112" s="216" t="str">
        <f t="shared" si="33"/>
        <v>Arbeitszeit Total Projekte</v>
      </c>
      <c r="AH112" s="217"/>
      <c r="AI112" s="237">
        <f t="shared" si="37"/>
        <v>0</v>
      </c>
      <c r="AJ112" s="259"/>
      <c r="AK112" s="223"/>
      <c r="AL112" s="243">
        <f ca="1">IF(EB.Anwendung&lt;&gt;"",IF(MONTH(Monat.Tag1)=1,0,IF(MONTH(Monat.Tag1)=2,Januar!Monat.PTotalUeVM,IF(MONTH(Monat.Tag1)=3,Februar!Monat.PTotalUeVM,IF(MONTH(Monat.Tag1)=4,März!Monat.PTotalUeVM,IF(MONTH(Monat.Tag1)=5,April!Monat.PTotalUeVM,IF(MONTH(Monat.Tag1)=6,Mai!Monat.PTotalUeVM,IF(MONTH(Monat.Tag1)=7,Juni!Monat.PTotalUeVM,IF(MONTH(Monat.Tag1)=8,Juli!Monat.PTotalUeVM,IF(MONTH(Monat.Tag1)=9,August!Monat.PTotalUeVM,IF(MONTH(Monat.Tag1)=10,September!Monat.PTotalUeVM,IF(MONTH(Monat.Tag1)=11,Oktober!Monat.PTotalUeVM,IF(MONTH(Monat.Tag1)=12,November!Monat.PTotalUeVM,"")))))))))))),"")</f>
        <v>0</v>
      </c>
      <c r="AM112" s="208"/>
      <c r="AN112" s="244">
        <f t="shared" ca="1" si="36"/>
        <v>0</v>
      </c>
      <c r="AO112" s="287"/>
      <c r="AP112" s="287"/>
      <c r="AQ112" s="122"/>
    </row>
    <row r="113" spans="1:43" s="38" customFormat="1" ht="11.25" customHeight="1" x14ac:dyDescent="0.2">
      <c r="A113" s="288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89"/>
      <c r="AH113" s="284"/>
      <c r="AI113" s="225"/>
      <c r="AJ113" s="290"/>
      <c r="AK113" s="225"/>
      <c r="AL113" s="225"/>
      <c r="AM113" s="225"/>
      <c r="AN113" s="129"/>
      <c r="AO113" s="225"/>
      <c r="AP113" s="225"/>
      <c r="AQ113" s="118"/>
    </row>
    <row r="114" spans="1:43" s="38" customFormat="1" ht="15" hidden="1" customHeight="1" outlineLevel="1" x14ac:dyDescent="0.2">
      <c r="A114" s="214" t="s">
        <v>214</v>
      </c>
      <c r="B114" s="239">
        <f t="shared" ref="B114:AF114" si="39">ROUND(((B23+B45+B91)-SUMPRODUCT((B97:B111)*(EB.Projektart.Bereich=6)))*1440,0)/1440</f>
        <v>0</v>
      </c>
      <c r="C114" s="239">
        <f t="shared" si="39"/>
        <v>0</v>
      </c>
      <c r="D114" s="239">
        <f t="shared" si="39"/>
        <v>0</v>
      </c>
      <c r="E114" s="239">
        <f t="shared" si="39"/>
        <v>0</v>
      </c>
      <c r="F114" s="239">
        <f t="shared" si="39"/>
        <v>0</v>
      </c>
      <c r="G114" s="239">
        <f t="shared" si="39"/>
        <v>0</v>
      </c>
      <c r="H114" s="239">
        <f t="shared" si="39"/>
        <v>0</v>
      </c>
      <c r="I114" s="239">
        <f t="shared" si="39"/>
        <v>0</v>
      </c>
      <c r="J114" s="239">
        <f t="shared" si="39"/>
        <v>0</v>
      </c>
      <c r="K114" s="239">
        <f t="shared" si="39"/>
        <v>0</v>
      </c>
      <c r="L114" s="239">
        <f t="shared" si="39"/>
        <v>0</v>
      </c>
      <c r="M114" s="239">
        <f t="shared" si="39"/>
        <v>0</v>
      </c>
      <c r="N114" s="239">
        <f t="shared" si="39"/>
        <v>0</v>
      </c>
      <c r="O114" s="239">
        <f t="shared" si="39"/>
        <v>0</v>
      </c>
      <c r="P114" s="239">
        <f t="shared" si="39"/>
        <v>0</v>
      </c>
      <c r="Q114" s="239">
        <f t="shared" si="39"/>
        <v>0</v>
      </c>
      <c r="R114" s="239">
        <f t="shared" si="39"/>
        <v>0</v>
      </c>
      <c r="S114" s="239">
        <f t="shared" si="39"/>
        <v>0</v>
      </c>
      <c r="T114" s="239">
        <f t="shared" si="39"/>
        <v>0</v>
      </c>
      <c r="U114" s="239">
        <f t="shared" si="39"/>
        <v>0</v>
      </c>
      <c r="V114" s="239">
        <f t="shared" si="39"/>
        <v>0</v>
      </c>
      <c r="W114" s="239">
        <f t="shared" si="39"/>
        <v>0</v>
      </c>
      <c r="X114" s="239">
        <f t="shared" si="39"/>
        <v>0</v>
      </c>
      <c r="Y114" s="239">
        <f t="shared" si="39"/>
        <v>0</v>
      </c>
      <c r="Z114" s="239">
        <f t="shared" si="39"/>
        <v>0</v>
      </c>
      <c r="AA114" s="239">
        <f t="shared" si="39"/>
        <v>0</v>
      </c>
      <c r="AB114" s="239">
        <f t="shared" si="39"/>
        <v>0</v>
      </c>
      <c r="AC114" s="239">
        <f t="shared" si="39"/>
        <v>0</v>
      </c>
      <c r="AD114" s="239">
        <f t="shared" si="39"/>
        <v>0</v>
      </c>
      <c r="AE114" s="239">
        <f t="shared" si="39"/>
        <v>0</v>
      </c>
      <c r="AF114" s="239">
        <f t="shared" si="39"/>
        <v>0</v>
      </c>
      <c r="AG114" s="216" t="str">
        <f t="shared" ref="AG114" si="40">A114</f>
        <v>Differenz AZ - Projektart 6</v>
      </c>
      <c r="AH114" s="227"/>
      <c r="AI114" s="237">
        <f>SUM(B114:AF114)</f>
        <v>0</v>
      </c>
      <c r="AJ114" s="259"/>
      <c r="AK114" s="260"/>
      <c r="AL114" s="243">
        <f ca="1">IF(EB.Anwendung&lt;&gt;"",IF(MONTH(Monat.Tag1)=1,0,IF(MONTH(Monat.Tag1)=2,Januar!Monat.PDiffUeVM,IF(MONTH(Monat.Tag1)=3,Februar!Monat.PDiffUeVM,IF(MONTH(Monat.Tag1)=4,März!Monat.PDiffUeVM,IF(MONTH(Monat.Tag1)=5,April!Monat.PDiffUeVM,IF(MONTH(Monat.Tag1)=6,Mai!Monat.PDiffUeVM,IF(MONTH(Monat.Tag1)=7,Juni!Monat.PDiffUeVM,IF(MONTH(Monat.Tag1)=8,Juli!Monat.PDiffUeVM,IF(MONTH(Monat.Tag1)=9,August!Monat.PDiffUeVM,IF(MONTH(Monat.Tag1)=10,September!Monat.PDiffUeVM,IF(MONTH(Monat.Tag1)=11,Oktober!Monat.PDiffUeVM,IF(MONTH(Monat.Tag1)=12,November!Monat.PDiffUeVM,"")))))))))))),"")</f>
        <v>0</v>
      </c>
      <c r="AM114" s="260"/>
      <c r="AN114" s="244">
        <f ca="1">AI114+AL114</f>
        <v>0</v>
      </c>
      <c r="AO114" s="260"/>
      <c r="AP114" s="260"/>
      <c r="AQ114" s="118"/>
    </row>
    <row r="115" spans="1:43" ht="11.25" hidden="1" customHeight="1" outlineLevel="1" x14ac:dyDescent="0.2">
      <c r="A115" s="122"/>
      <c r="B115" s="291"/>
      <c r="C115" s="291"/>
      <c r="D115" s="291"/>
      <c r="E115" s="291"/>
      <c r="F115" s="291"/>
      <c r="G115" s="291"/>
      <c r="H115" s="291"/>
      <c r="I115" s="291"/>
      <c r="J115" s="292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3"/>
      <c r="AH115" s="294"/>
      <c r="AI115" s="122"/>
      <c r="AJ115" s="122"/>
      <c r="AK115" s="122"/>
      <c r="AL115" s="122"/>
      <c r="AM115" s="122"/>
      <c r="AN115" s="295"/>
      <c r="AO115" s="122"/>
      <c r="AP115" s="122"/>
      <c r="AQ115" s="122"/>
    </row>
    <row r="116" spans="1:43" ht="11.25" customHeight="1" collapsed="1" x14ac:dyDescent="0.2">
      <c r="A116" s="122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3"/>
      <c r="AH116" s="294"/>
      <c r="AI116" s="122"/>
      <c r="AJ116" s="122"/>
      <c r="AK116" s="122"/>
      <c r="AL116" s="122"/>
      <c r="AM116" s="122"/>
      <c r="AN116" s="295"/>
      <c r="AO116" s="122"/>
      <c r="AP116" s="122"/>
      <c r="AQ116" s="122"/>
    </row>
    <row r="117" spans="1:43" ht="12" customHeight="1" x14ac:dyDescent="0.2">
      <c r="A117" s="122"/>
      <c r="B117" s="489" t="s">
        <v>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7"/>
      <c r="AH117" s="298"/>
      <c r="AI117" s="296"/>
      <c r="AJ117" s="296"/>
      <c r="AK117" s="296"/>
      <c r="AL117" s="296"/>
      <c r="AM117" s="296"/>
      <c r="AN117" s="299"/>
      <c r="AO117" s="286"/>
      <c r="AP117" s="286"/>
      <c r="AQ117" s="122"/>
    </row>
    <row r="118" spans="1:43" ht="11.25" customHeight="1" x14ac:dyDescent="0.2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122"/>
    </row>
    <row r="119" spans="1:43" ht="39" customHeight="1" x14ac:dyDescent="0.2">
      <c r="A119" s="134" t="s">
        <v>67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296"/>
      <c r="S119" s="296"/>
      <c r="T119" s="296"/>
      <c r="U119" s="296"/>
      <c r="V119" s="296"/>
      <c r="W119" s="296"/>
      <c r="X119" s="296"/>
      <c r="Y119" s="491"/>
      <c r="Z119" s="491"/>
      <c r="AA119" s="491"/>
      <c r="AB119" s="491"/>
      <c r="AC119" s="491"/>
      <c r="AD119" s="491"/>
      <c r="AE119" s="491"/>
      <c r="AF119" s="491"/>
      <c r="AG119" s="493" t="str">
        <f ca="1">IF(AG67&lt;&gt;Monat.KomAZText,AG67 &amp; CHAR(10),"") &amp;
IF(AG84&lt;&gt;Monat.FerienText,AG84,"")</f>
        <v/>
      </c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122"/>
    </row>
    <row r="120" spans="1:43" ht="12" customHeight="1" x14ac:dyDescent="0.2">
      <c r="A120" s="441" t="s">
        <v>62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296"/>
      <c r="S120" s="296"/>
      <c r="T120" s="495" t="s">
        <v>63</v>
      </c>
      <c r="U120" s="495"/>
      <c r="V120" s="495"/>
      <c r="W120" s="495"/>
      <c r="X120" s="495"/>
      <c r="Y120" s="492"/>
      <c r="Z120" s="492"/>
      <c r="AA120" s="492"/>
      <c r="AB120" s="492"/>
      <c r="AC120" s="492"/>
      <c r="AD120" s="492"/>
      <c r="AE120" s="492"/>
      <c r="AF120" s="492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122"/>
    </row>
    <row r="121" spans="1:43" ht="11.25" customHeight="1" x14ac:dyDescent="0.2">
      <c r="A121" s="302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291"/>
      <c r="N121" s="291"/>
      <c r="O121" s="291"/>
      <c r="P121" s="291"/>
      <c r="Q121" s="291"/>
      <c r="R121" s="291"/>
      <c r="S121" s="296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3"/>
      <c r="AH121" s="294"/>
      <c r="AI121" s="122"/>
      <c r="AJ121" s="122"/>
      <c r="AK121" s="122"/>
      <c r="AL121" s="122"/>
      <c r="AM121" s="122"/>
      <c r="AN121" s="295"/>
      <c r="AO121" s="122"/>
      <c r="AP121" s="122"/>
      <c r="AQ121" s="122"/>
    </row>
    <row r="122" spans="1:43" ht="12" customHeight="1" x14ac:dyDescent="0.2">
      <c r="A122" s="122"/>
      <c r="B122" s="481" t="s">
        <v>30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3"/>
      <c r="AH122" s="294"/>
      <c r="AI122" s="122"/>
      <c r="AJ122" s="122"/>
      <c r="AK122" s="122"/>
      <c r="AL122" s="122"/>
      <c r="AM122" s="122"/>
      <c r="AN122" s="295"/>
      <c r="AO122" s="122"/>
      <c r="AP122" s="122"/>
      <c r="AQ122" s="122"/>
    </row>
    <row r="123" spans="1:43" ht="11.25" customHeight="1" x14ac:dyDescent="0.2">
      <c r="A123" s="122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3"/>
      <c r="AH123" s="294"/>
      <c r="AI123" s="122"/>
      <c r="AJ123" s="122"/>
      <c r="AK123" s="122"/>
      <c r="AL123" s="122"/>
      <c r="AM123" s="122"/>
      <c r="AN123" s="295"/>
      <c r="AO123" s="122"/>
      <c r="AP123" s="122"/>
      <c r="AQ123" s="122"/>
    </row>
    <row r="124" spans="1:43" ht="11.25" customHeight="1" x14ac:dyDescent="0.2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122"/>
    </row>
    <row r="125" spans="1:4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3" x14ac:dyDescent="0.2">
      <c r="AG128" s="50"/>
      <c r="AH128" s="50"/>
      <c r="AN128" s="50"/>
    </row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</sheetData>
  <sheetProtection sheet="1" objects="1" scenarios="1"/>
  <mergeCells count="26">
    <mergeCell ref="B6:E6"/>
    <mergeCell ref="F6:N6"/>
    <mergeCell ref="B1:L1"/>
    <mergeCell ref="AO1:AP1"/>
    <mergeCell ref="B2:E2"/>
    <mergeCell ref="F2:N2"/>
    <mergeCell ref="P2:U2"/>
    <mergeCell ref="B3:E3"/>
    <mergeCell ref="F3:N3"/>
    <mergeCell ref="P3:U3"/>
    <mergeCell ref="B4:E4"/>
    <mergeCell ref="F4:N4"/>
    <mergeCell ref="P4:U4"/>
    <mergeCell ref="B5:E5"/>
    <mergeCell ref="F5:N5"/>
    <mergeCell ref="B122:Q122"/>
    <mergeCell ref="B7:E7"/>
    <mergeCell ref="F7:N7"/>
    <mergeCell ref="AH10:AI10"/>
    <mergeCell ref="AO10:AP10"/>
    <mergeCell ref="B117:Q117"/>
    <mergeCell ref="B119:Q119"/>
    <mergeCell ref="Y119:AF120"/>
    <mergeCell ref="AG119:AP120"/>
    <mergeCell ref="B120:Q120"/>
    <mergeCell ref="T120:X120"/>
  </mergeCells>
  <conditionalFormatting sqref="B114:AF114 AI114">
    <cfRule type="expression" dxfId="147" priority="16">
      <formula>ABS(B$114)&gt;=ROUND(1/24/60,9)</formula>
    </cfRule>
  </conditionalFormatting>
  <conditionalFormatting sqref="B13:AF22 B34:AF44 B25:AF30 B60:AF61 B67:AF67 B71:AF72 B84:AF84 B86:AF95 B97:AF111">
    <cfRule type="expression" dxfId="146" priority="14">
      <formula>WEEKDAY(B$10,2)&gt;5</formula>
    </cfRule>
    <cfRule type="expression" dxfId="145" priority="15">
      <formula>AND(NOT(ISERROR(MATCH(B$10,T.Feiertage.Bereich,0))),OFFSET(T.Feiertage.Bereich,MATCH(B$10,T.Feiertage.Bereich,0)-1,1,1,1)&gt;0)</formula>
    </cfRule>
    <cfRule type="expression" dxfId="144" priority="17">
      <formula>B$11=0</formula>
    </cfRule>
  </conditionalFormatting>
  <conditionalFormatting sqref="AN60:AO60">
    <cfRule type="expression" dxfId="143" priority="22">
      <formula>AND(T.50_Vetsuisse,AN60&gt;=T.GrenzeAngÜZ50_Vetsuisse)</formula>
    </cfRule>
    <cfRule type="expression" dxfId="142" priority="23">
      <formula>AND(T.50_Vetsuisse,AN60&gt;T.GrenzeAngÜZ50_Vetsuisse*T.AngÜZ50_Vetsuisse_orange)</formula>
    </cfRule>
  </conditionalFormatting>
  <conditionalFormatting sqref="B56:AF56">
    <cfRule type="expression" dxfId="141" priority="8">
      <formula>AND(B$10&gt;TODAY(),EB.UJAustritt="")</formula>
    </cfRule>
    <cfRule type="expression" dxfId="140" priority="9">
      <formula>B$56&gt;99.99/24</formula>
    </cfRule>
    <cfRule type="expression" dxfId="139" priority="11">
      <formula>B$56&lt;99.99/24*-1</formula>
    </cfRule>
  </conditionalFormatting>
  <conditionalFormatting sqref="AO55:AP55">
    <cfRule type="cellIs" dxfId="138" priority="24" operator="greaterThan">
      <formula>1/24/60</formula>
    </cfRule>
    <cfRule type="expression" dxfId="137" priority="25">
      <formula>AND(AO55&lt;=1/24/60*-1,TODAY()&gt;=DATE(EB.Jahr,MONTH(12),DAY(31)))</formula>
    </cfRule>
  </conditionalFormatting>
  <conditionalFormatting sqref="B56:AF56 AI58">
    <cfRule type="expression" dxfId="136" priority="10">
      <formula>B$56&gt;1/24/60</formula>
    </cfRule>
    <cfRule type="expression" dxfId="135" priority="12">
      <formula>AND(B$56&lt;=1/24/60*-1,B$56)</formula>
    </cfRule>
  </conditionalFormatting>
  <conditionalFormatting sqref="B14:AF22 B36:AF44 B26:AF30">
    <cfRule type="expression" dxfId="134" priority="6">
      <formula>AND(B14&lt;B13,B14&lt;&gt;"")</formula>
    </cfRule>
  </conditionalFormatting>
  <conditionalFormatting sqref="B72:AF73">
    <cfRule type="expression" dxfId="133" priority="13">
      <formula>AND(T.50_Vetsuisse,OR(AND(B$72&lt;&gt;INDEX(T.JaNein.Bereich,1,1),B$72&lt;&gt;INDEX(T.JaNein.Bereich,2,1),B$73&lt;&gt;0,MOD(IFERROR(MATCH(1,B$13:B$22,0),1),2)=0),AND(B$72=INDEX(T.JaNein.Bereich,1,1),OR(B$73=0,MOD(IFERROR(MATCH(1,B$13:B$22,0),1),2)&lt;&gt;0))))</formula>
    </cfRule>
  </conditionalFormatting>
  <conditionalFormatting sqref="P4:U4">
    <cfRule type="expression" dxfId="132" priority="18">
      <formula>$P$4&lt;&gt;""</formula>
    </cfRule>
  </conditionalFormatting>
  <conditionalFormatting sqref="V4">
    <cfRule type="expression" dxfId="131" priority="19">
      <formula>$V$4&lt;&gt;""</formula>
    </cfRule>
  </conditionalFormatting>
  <conditionalFormatting sqref="AP60">
    <cfRule type="expression" dxfId="130" priority="26">
      <formula>AND(T.50_Vetsuisse,AP60&gt;=T.GrenzeAngÜZ50_Vetsuisse)</formula>
    </cfRule>
    <cfRule type="expression" dxfId="129" priority="27">
      <formula>AND(T.50_Vetsuisse,AP60&gt;T.GrenzeAngÜZ50_Vetsuisse*T.AngÜZ50_Vetsuisse_orange)</formula>
    </cfRule>
  </conditionalFormatting>
  <conditionalFormatting sqref="AJ72:AJ73">
    <cfRule type="expression" dxfId="128" priority="20">
      <formula>AND(T.50_Vetsuisse,$AJ$72&lt;&gt;$AJ$73)</formula>
    </cfRule>
    <cfRule type="expression" dxfId="127" priority="21">
      <formula>$AJ$72&gt;$AJ$73</formula>
    </cfRule>
  </conditionalFormatting>
  <conditionalFormatting sqref="B55:AF55">
    <cfRule type="expression" dxfId="126" priority="7">
      <formula>AND(B$10&lt;=TODAY(),B$55&lt;1/24/60*-1)</formula>
    </cfRule>
  </conditionalFormatting>
  <conditionalFormatting sqref="AG67 AG84">
    <cfRule type="expression" dxfId="125" priority="5">
      <formula>AG67&lt;&gt;A67</formula>
    </cfRule>
  </conditionalFormatting>
  <conditionalFormatting sqref="B67:AF67">
    <cfRule type="expression" dxfId="124" priority="4">
      <formula>AND(B66=0,B67&gt;0)</formula>
    </cfRule>
  </conditionalFormatting>
  <conditionalFormatting sqref="B34:AF34">
    <cfRule type="expression" dxfId="123" priority="3">
      <formula>T.MedizinischeMikrobiologie</formula>
    </cfRule>
  </conditionalFormatting>
  <conditionalFormatting sqref="AK51">
    <cfRule type="expression" dxfId="122" priority="2">
      <formula>ISNUMBER(AK51)</formula>
    </cfRule>
  </conditionalFormatting>
  <conditionalFormatting sqref="AN51">
    <cfRule type="expression" dxfId="121" priority="1">
      <formula>ISNUMBER(AN51)</formula>
    </cfRule>
  </conditionalFormatting>
  <dataValidations count="2">
    <dataValidation type="list" allowBlank="1" showInputMessage="1" showErrorMessage="1" errorTitle="Start Gepl. Nachtdienst" error="Bitte wählen Sie einen Wert aus der Liste." sqref="B72:AF72" xr:uid="{93D6FF79-0EB1-4365-AA9F-87D39E28FFD7}">
      <formula1>T.JaNein.Bereich</formula1>
    </dataValidation>
    <dataValidation type="list" allowBlank="1" showInputMessage="1" showErrorMessage="1" errorTitle="Pikett Bereitschaft" error="Bitte wählen Sie einen Wert aus der Liste." sqref="B34:AF34" xr:uid="{EB29F24E-D1ED-4089-86CE-5999DA715865}">
      <formula1>T.Pikett.Bereich</formula1>
    </dataValidation>
  </dataValidations>
  <pageMargins left="0.19685039370078741" right="0.19685039370078741" top="0.39370078740157483" bottom="0.39370078740157483" header="0.31496062992125984" footer="0.19685039370078741"/>
  <pageSetup paperSize="9" scale="44" orientation="landscape" horizontalDpi="4294967292" verticalDpi="4294967292" r:id="rId1"/>
  <headerFooter alignWithMargins="0">
    <oddFooter>&amp;L&amp;"Arial,Standard"&amp;11Monatsabrechnung &amp;A&amp;C&amp;"Arial,Standard"&amp;11&amp;D&amp;R&amp;"Arial,Standard"&amp;11&amp;P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1574</vt:i4>
      </vt:variant>
    </vt:vector>
  </HeadingPairs>
  <TitlesOfParts>
    <vt:vector size="1591" baseType="lpstr">
      <vt:lpstr>Eingabeblatt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Jahresabrechnung</vt:lpstr>
      <vt:lpstr>Projektübersicht</vt:lpstr>
      <vt:lpstr>Projektübersicht-E+Q</vt:lpstr>
      <vt:lpstr>Tabellen</vt:lpstr>
      <vt:lpstr>April!Druckbereich</vt:lpstr>
      <vt:lpstr>August!Druckbereich</vt:lpstr>
      <vt:lpstr>Dezember!Druckbereich</vt:lpstr>
      <vt:lpstr>Eingabeblatt!Druckbereich</vt:lpstr>
      <vt:lpstr>Februar!Druckbereich</vt:lpstr>
      <vt:lpstr>Jahresabrechnung!Druckbereich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Projektübersicht!Druckbereich</vt:lpstr>
      <vt:lpstr>'Projektübersicht-E+Q'!Druckbereich</vt:lpstr>
      <vt:lpstr>September!Druckbereich</vt:lpstr>
      <vt:lpstr>EB.Anpassungszeitpunkt</vt:lpstr>
      <vt:lpstr>EB.Anwendung</vt:lpstr>
      <vt:lpstr>EB.AnzMonate</vt:lpstr>
      <vt:lpstr>EB.AnzProjekte</vt:lpstr>
      <vt:lpstr>EB.AZS</vt:lpstr>
      <vt:lpstr>EB.AZSOLLMonat100.Bereich</vt:lpstr>
      <vt:lpstr>EB.AZSOLLTag100.Bereich</vt:lpstr>
      <vt:lpstr>EB.BG</vt:lpstr>
      <vt:lpstr>EB.BG_Total</vt:lpstr>
      <vt:lpstr>EB.DAG</vt:lpstr>
      <vt:lpstr>EB.DAGber</vt:lpstr>
      <vt:lpstr>EB.DurchSollTAZStd.Bereich</vt:lpstr>
      <vt:lpstr>EB.EffBG.Bereich</vt:lpstr>
      <vt:lpstr>EB.EffBG.Knoten</vt:lpstr>
      <vt:lpstr>EB.Fakultaet</vt:lpstr>
      <vt:lpstr>EB.Ferien</vt:lpstr>
      <vt:lpstr>EB.FerienBer</vt:lpstr>
      <vt:lpstr>EB.FerienSollJahr100</vt:lpstr>
      <vt:lpstr>EB.Frei_Stunden</vt:lpstr>
      <vt:lpstr>EB.Funktion</vt:lpstr>
      <vt:lpstr>EB.Geburtsdatum</vt:lpstr>
      <vt:lpstr>EB.Geburtsjahr</vt:lpstr>
      <vt:lpstr>EB.Institut</vt:lpstr>
      <vt:lpstr>EB.Jahr</vt:lpstr>
      <vt:lpstr>EB.Kom</vt:lpstr>
      <vt:lpstr>EB.Lernender</vt:lpstr>
      <vt:lpstr>EB.LKgr16</vt:lpstr>
      <vt:lpstr>EB.LKgr16ab</vt:lpstr>
      <vt:lpstr>EB.MFAStd.Knoten</vt:lpstr>
      <vt:lpstr>EB.MKAStd.Knoten</vt:lpstr>
      <vt:lpstr>EB.MMS</vt:lpstr>
      <vt:lpstr>EB.Monate.Bereich</vt:lpstr>
      <vt:lpstr>EB.Name</vt:lpstr>
      <vt:lpstr>EB.Personalkategorie</vt:lpstr>
      <vt:lpstr>EB.Personalnummer</vt:lpstr>
      <vt:lpstr>EB.Projektart.Bereich</vt:lpstr>
      <vt:lpstr>EB.Projektart.Knoten</vt:lpstr>
      <vt:lpstr>EB.Projekte.Knoten</vt:lpstr>
      <vt:lpstr>EB.Projekte.RahmenBereich</vt:lpstr>
      <vt:lpstr>EB.RAZ_Wochentage.Bereich</vt:lpstr>
      <vt:lpstr>EB.RAZ1_7.Bereich</vt:lpstr>
      <vt:lpstr>EB.SollAZJahr100</vt:lpstr>
      <vt:lpstr>EB.Sprache</vt:lpstr>
      <vt:lpstr>EB.Tag1</vt:lpstr>
      <vt:lpstr>EB.UeZ</vt:lpstr>
      <vt:lpstr>EB.UJAustritt</vt:lpstr>
      <vt:lpstr>EB.UJEintritt</vt:lpstr>
      <vt:lpstr>EB.ÜVMMS</vt:lpstr>
      <vt:lpstr>EB.ÜZZSBerechtigt</vt:lpstr>
      <vt:lpstr>EB.Version</vt:lpstr>
      <vt:lpstr>EB.WeitereAngaben</vt:lpstr>
      <vt:lpstr>EB.Wochenarbeitszeit</vt:lpstr>
      <vt:lpstr>EB.ZZNd</vt:lpstr>
      <vt:lpstr>April!FieldtoSelect</vt:lpstr>
      <vt:lpstr>August!FieldtoSelect</vt:lpstr>
      <vt:lpstr>Dezember!FieldtoSelect</vt:lpstr>
      <vt:lpstr>Eingabeblatt!FieldtoSelect</vt:lpstr>
      <vt:lpstr>Februar!FieldtoSelect</vt:lpstr>
      <vt:lpstr>Jahresabrechnung!FieldtoSelect</vt:lpstr>
      <vt:lpstr>Januar!FieldtoSelect</vt:lpstr>
      <vt:lpstr>Juli!FieldtoSelect</vt:lpstr>
      <vt:lpstr>Juni!FieldtoSelect</vt:lpstr>
      <vt:lpstr>Mai!FieldtoSelect</vt:lpstr>
      <vt:lpstr>März!FieldtoSelect</vt:lpstr>
      <vt:lpstr>November!FieldtoSelect</vt:lpstr>
      <vt:lpstr>Oktober!FieldtoSelect</vt:lpstr>
      <vt:lpstr>Projektübersicht!FieldtoSelect</vt:lpstr>
      <vt:lpstr>'Projektübersicht-E+Q'!FieldtoSelect</vt:lpstr>
      <vt:lpstr>September!FieldtoSelect</vt:lpstr>
      <vt:lpstr>Tabellen!FieldtoSelect</vt:lpstr>
      <vt:lpstr>J.AZSaldo.Total</vt:lpstr>
      <vt:lpstr>J.Ferien.Total</vt:lpstr>
      <vt:lpstr>J.FerienUE.Total</vt:lpstr>
      <vt:lpstr>J.KomAZ.Total</vt:lpstr>
      <vt:lpstr>J.MMSUE.Total</vt:lpstr>
      <vt:lpstr>J.UeZ.Total</vt:lpstr>
      <vt:lpstr>Jahr.Abendarbeit.Total</vt:lpstr>
      <vt:lpstr>Jahr.AngÜZ</vt:lpstr>
      <vt:lpstr>Jahr.AnzahlPiketttage.Total</vt:lpstr>
      <vt:lpstr>Jahr.Arzt.Total</vt:lpstr>
      <vt:lpstr>Jahr.AZ.Total</vt:lpstr>
      <vt:lpstr>Jahr.BD.Total</vt:lpstr>
      <vt:lpstr>Jahr.BesUrlaub.Total</vt:lpstr>
      <vt:lpstr>Jahr.BG.Total</vt:lpstr>
      <vt:lpstr>Jahr.BU.Total</vt:lpstr>
      <vt:lpstr>Jahr.DAG.Total</vt:lpstr>
      <vt:lpstr>Jahr.DAGUE.Total</vt:lpstr>
      <vt:lpstr>Jahr.ein_aus.Total</vt:lpstr>
      <vt:lpstr>Jahr.ein_aus_Pikett.Total</vt:lpstr>
      <vt:lpstr>Jahr.KompZZSND</vt:lpstr>
      <vt:lpstr>Jahr.KomUeZ.Total</vt:lpstr>
      <vt:lpstr>Jahr.Krank.Total</vt:lpstr>
      <vt:lpstr>Jahr.MZS.Total</vt:lpstr>
      <vt:lpstr>Jahr.NB.Total</vt:lpstr>
      <vt:lpstr>Jahr.NBU.Total</vt:lpstr>
      <vt:lpstr>Jahr.ND.Total</vt:lpstr>
      <vt:lpstr>Jahr.SD.Total</vt:lpstr>
      <vt:lpstr>Jahr.SollAZNetto.Total</vt:lpstr>
      <vt:lpstr>Jahr.UeziZSUE.Total</vt:lpstr>
      <vt:lpstr>Jahr.UeZSaldo.Total</vt:lpstr>
      <vt:lpstr>Jahr.UnbesUrlaub.Total</vt:lpstr>
      <vt:lpstr>Jahr.ÜZZSBerechtigt.Total</vt:lpstr>
      <vt:lpstr>Jahr.WB.Total</vt:lpstr>
      <vt:lpstr>Jahr.ZählerND.Total</vt:lpstr>
      <vt:lpstr>Jahr.ZZSND.Total</vt:lpstr>
      <vt:lpstr>Jahr.ZZSNDSaldo</vt:lpstr>
      <vt:lpstr>Jahr.ZZSNDSaldoUE.Total</vt:lpstr>
      <vt:lpstr>April!Monat.AAUeVM</vt:lpstr>
      <vt:lpstr>August!Monat.AAUeVM</vt:lpstr>
      <vt:lpstr>Dezember!Monat.AAUeVM</vt:lpstr>
      <vt:lpstr>Februar!Monat.AAUeVM</vt:lpstr>
      <vt:lpstr>Januar!Monat.AAUeVM</vt:lpstr>
      <vt:lpstr>Juli!Monat.AAUeVM</vt:lpstr>
      <vt:lpstr>Juni!Monat.AAUeVM</vt:lpstr>
      <vt:lpstr>Mai!Monat.AAUeVM</vt:lpstr>
      <vt:lpstr>März!Monat.AAUeVM</vt:lpstr>
      <vt:lpstr>November!Monat.AAUeVM</vt:lpstr>
      <vt:lpstr>Oktober!Monat.AAUeVM</vt:lpstr>
      <vt:lpstr>September!Monat.AAUeVM</vt:lpstr>
      <vt:lpstr>April!Monat.AB.Total</vt:lpstr>
      <vt:lpstr>August!Monat.AB.Total</vt:lpstr>
      <vt:lpstr>Dezember!Monat.AB.Total</vt:lpstr>
      <vt:lpstr>Februar!Monat.AB.Total</vt:lpstr>
      <vt:lpstr>Januar!Monat.AB.Total</vt:lpstr>
      <vt:lpstr>Juli!Monat.AB.Total</vt:lpstr>
      <vt:lpstr>Juni!Monat.AB.Total</vt:lpstr>
      <vt:lpstr>Mai!Monat.AB.Total</vt:lpstr>
      <vt:lpstr>März!Monat.AB.Total</vt:lpstr>
      <vt:lpstr>November!Monat.AB.Total</vt:lpstr>
      <vt:lpstr>Oktober!Monat.AB.Total</vt:lpstr>
      <vt:lpstr>September!Monat.AB.Total</vt:lpstr>
      <vt:lpstr>April!Monat.Abendarbeit.Total</vt:lpstr>
      <vt:lpstr>August!Monat.Abendarbeit.Total</vt:lpstr>
      <vt:lpstr>Dezember!Monat.Abendarbeit.Total</vt:lpstr>
      <vt:lpstr>Februar!Monat.Abendarbeit.Total</vt:lpstr>
      <vt:lpstr>Januar!Monat.Abendarbeit.Total</vt:lpstr>
      <vt:lpstr>Juli!Monat.Abendarbeit.Total</vt:lpstr>
      <vt:lpstr>Juni!Monat.Abendarbeit.Total</vt:lpstr>
      <vt:lpstr>Mai!Monat.Abendarbeit.Total</vt:lpstr>
      <vt:lpstr>März!Monat.Abendarbeit.Total</vt:lpstr>
      <vt:lpstr>November!Monat.Abendarbeit.Total</vt:lpstr>
      <vt:lpstr>Oktober!Monat.Abendarbeit.Total</vt:lpstr>
      <vt:lpstr>September!Monat.Abendarbeit.Total</vt:lpstr>
      <vt:lpstr>April!Monat.AbendarbeitText</vt:lpstr>
      <vt:lpstr>August!Monat.AbendarbeitText</vt:lpstr>
      <vt:lpstr>Dezember!Monat.AbendarbeitText</vt:lpstr>
      <vt:lpstr>Februar!Monat.AbendarbeitText</vt:lpstr>
      <vt:lpstr>Januar!Monat.AbendarbeitText</vt:lpstr>
      <vt:lpstr>Juli!Monat.AbendarbeitText</vt:lpstr>
      <vt:lpstr>Juni!Monat.AbendarbeitText</vt:lpstr>
      <vt:lpstr>Mai!Monat.AbendarbeitText</vt:lpstr>
      <vt:lpstr>März!Monat.AbendarbeitText</vt:lpstr>
      <vt:lpstr>November!Monat.AbendarbeitText</vt:lpstr>
      <vt:lpstr>Oktober!Monat.AbendarbeitText</vt:lpstr>
      <vt:lpstr>September!Monat.AbendarbeitText</vt:lpstr>
      <vt:lpstr>April!Monat.AnUeZ.Total</vt:lpstr>
      <vt:lpstr>August!Monat.AnUeZ.Total</vt:lpstr>
      <vt:lpstr>Dezember!Monat.AnUeZ.Total</vt:lpstr>
      <vt:lpstr>Februar!Monat.AnUeZ.Total</vt:lpstr>
      <vt:lpstr>Januar!Monat.AnUeZ.Total</vt:lpstr>
      <vt:lpstr>Juli!Monat.AnUeZ.Total</vt:lpstr>
      <vt:lpstr>Juni!Monat.AnUeZ.Total</vt:lpstr>
      <vt:lpstr>Mai!Monat.AnUeZ.Total</vt:lpstr>
      <vt:lpstr>März!Monat.AnUeZ.Total</vt:lpstr>
      <vt:lpstr>November!Monat.AnUeZ.Total</vt:lpstr>
      <vt:lpstr>Oktober!Monat.AnUeZ.Total</vt:lpstr>
      <vt:lpstr>September!Monat.AnUeZ.Total</vt:lpstr>
      <vt:lpstr>April!Monat.AnUeZ.Zähler</vt:lpstr>
      <vt:lpstr>August!Monat.AnUeZ.Zähler</vt:lpstr>
      <vt:lpstr>Dezember!Monat.AnUeZ.Zähler</vt:lpstr>
      <vt:lpstr>Februar!Monat.AnUeZ.Zähler</vt:lpstr>
      <vt:lpstr>Januar!Monat.AnUeZ.Zähler</vt:lpstr>
      <vt:lpstr>Juli!Monat.AnUeZ.Zähler</vt:lpstr>
      <vt:lpstr>Juni!Monat.AnUeZ.Zähler</vt:lpstr>
      <vt:lpstr>Mai!Monat.AnUeZ.Zähler</vt:lpstr>
      <vt:lpstr>März!Monat.AnUeZ.Zähler</vt:lpstr>
      <vt:lpstr>November!Monat.AnUeZ.Zähler</vt:lpstr>
      <vt:lpstr>Oktober!Monat.AnUeZ.Zähler</vt:lpstr>
      <vt:lpstr>September!Monat.AnUeZ.Zähler</vt:lpstr>
      <vt:lpstr>April!Monat.AnUeZText</vt:lpstr>
      <vt:lpstr>August!Monat.AnUeZText</vt:lpstr>
      <vt:lpstr>Dezember!Monat.AnUeZText</vt:lpstr>
      <vt:lpstr>Februar!Monat.AnUeZText</vt:lpstr>
      <vt:lpstr>Januar!Monat.AnUeZText</vt:lpstr>
      <vt:lpstr>Juli!Monat.AnUeZText</vt:lpstr>
      <vt:lpstr>Juni!Monat.AnUeZText</vt:lpstr>
      <vt:lpstr>Mai!Monat.AnUeZText</vt:lpstr>
      <vt:lpstr>März!Monat.AnUeZText</vt:lpstr>
      <vt:lpstr>November!Monat.AnUeZText</vt:lpstr>
      <vt:lpstr>Oktober!Monat.AnUeZText</vt:lpstr>
      <vt:lpstr>September!Monat.AnUeZText</vt:lpstr>
      <vt:lpstr>April!Monat.AnUeZUeVM</vt:lpstr>
      <vt:lpstr>August!Monat.AnUeZUeVM</vt:lpstr>
      <vt:lpstr>Dezember!Monat.AnUeZUeVM</vt:lpstr>
      <vt:lpstr>Februar!Monat.AnUeZUeVM</vt:lpstr>
      <vt:lpstr>Januar!Monat.AnUeZUeVM</vt:lpstr>
      <vt:lpstr>Juli!Monat.AnUeZUeVM</vt:lpstr>
      <vt:lpstr>Juni!Monat.AnUeZUeVM</vt:lpstr>
      <vt:lpstr>Mai!Monat.AnUeZUeVM</vt:lpstr>
      <vt:lpstr>März!Monat.AnUeZUeVM</vt:lpstr>
      <vt:lpstr>November!Monat.AnUeZUeVM</vt:lpstr>
      <vt:lpstr>Oktober!Monat.AnUeZUeVM</vt:lpstr>
      <vt:lpstr>September!Monat.AnUeZUeVM</vt:lpstr>
      <vt:lpstr>April!Monat.ArztText</vt:lpstr>
      <vt:lpstr>August!Monat.ArztText</vt:lpstr>
      <vt:lpstr>Dezember!Monat.ArztText</vt:lpstr>
      <vt:lpstr>Februar!Monat.ArztText</vt:lpstr>
      <vt:lpstr>Januar!Monat.ArztText</vt:lpstr>
      <vt:lpstr>Juli!Monat.ArztText</vt:lpstr>
      <vt:lpstr>Juni!Monat.ArztText</vt:lpstr>
      <vt:lpstr>Mai!Monat.ArztText</vt:lpstr>
      <vt:lpstr>März!Monat.ArztText</vt:lpstr>
      <vt:lpstr>November!Monat.ArztText</vt:lpstr>
      <vt:lpstr>Oktober!Monat.ArztText</vt:lpstr>
      <vt:lpstr>September!Monat.ArztText</vt:lpstr>
      <vt:lpstr>April!Monat.ArztUeVM</vt:lpstr>
      <vt:lpstr>August!Monat.ArztUeVM</vt:lpstr>
      <vt:lpstr>Dezember!Monat.ArztUeVM</vt:lpstr>
      <vt:lpstr>Februar!Monat.ArztUeVM</vt:lpstr>
      <vt:lpstr>Januar!Monat.ArztUeVM</vt:lpstr>
      <vt:lpstr>Juli!Monat.ArztUeVM</vt:lpstr>
      <vt:lpstr>Juni!Monat.ArztUeVM</vt:lpstr>
      <vt:lpstr>Mai!Monat.ArztUeVM</vt:lpstr>
      <vt:lpstr>März!Monat.ArztUeVM</vt:lpstr>
      <vt:lpstr>November!Monat.ArztUeVM</vt:lpstr>
      <vt:lpstr>Oktober!Monat.ArztUeVM</vt:lpstr>
      <vt:lpstr>September!Monat.ArztUeVM</vt:lpstr>
      <vt:lpstr>April!Monat.AZIstWRestUeVM</vt:lpstr>
      <vt:lpstr>August!Monat.AZIstWRestUeVM</vt:lpstr>
      <vt:lpstr>Dezember!Monat.AZIstWRestUeVM</vt:lpstr>
      <vt:lpstr>Februar!Monat.AZIstWRestUeVM</vt:lpstr>
      <vt:lpstr>Januar!Monat.AZIstWRestUeVM</vt:lpstr>
      <vt:lpstr>Juli!Monat.AZIstWRestUeVM</vt:lpstr>
      <vt:lpstr>Juni!Monat.AZIstWRestUeVM</vt:lpstr>
      <vt:lpstr>Mai!Monat.AZIstWRestUeVM</vt:lpstr>
      <vt:lpstr>März!Monat.AZIstWRestUeVM</vt:lpstr>
      <vt:lpstr>November!Monat.AZIstWRestUeVM</vt:lpstr>
      <vt:lpstr>Oktober!Monat.AZIstWRestUeVM</vt:lpstr>
      <vt:lpstr>September!Monat.AZIstWRestUeVM</vt:lpstr>
      <vt:lpstr>April!Monat.AZSaldoUeVM</vt:lpstr>
      <vt:lpstr>August!Monat.AZSaldoUeVM</vt:lpstr>
      <vt:lpstr>Dezember!Monat.AZSaldoUeVM</vt:lpstr>
      <vt:lpstr>Februar!Monat.AZSaldoUeVM</vt:lpstr>
      <vt:lpstr>Januar!Monat.AZSaldoUeVM</vt:lpstr>
      <vt:lpstr>Juli!Monat.AZSaldoUeVM</vt:lpstr>
      <vt:lpstr>Juni!Monat.AZSaldoUeVM</vt:lpstr>
      <vt:lpstr>Mai!Monat.AZSaldoUeVM</vt:lpstr>
      <vt:lpstr>März!Monat.AZSaldoUeVM</vt:lpstr>
      <vt:lpstr>November!Monat.AZSaldoUeVM</vt:lpstr>
      <vt:lpstr>Oktober!Monat.AZSaldoUeVM</vt:lpstr>
      <vt:lpstr>September!Monat.AZSaldoUeVM</vt:lpstr>
      <vt:lpstr>April!Monat.AZSoll.Total</vt:lpstr>
      <vt:lpstr>August!Monat.AZSoll.Total</vt:lpstr>
      <vt:lpstr>Dezember!Monat.AZSoll.Total</vt:lpstr>
      <vt:lpstr>Februar!Monat.AZSoll.Total</vt:lpstr>
      <vt:lpstr>Januar!Monat.AZSoll.Total</vt:lpstr>
      <vt:lpstr>Juli!Monat.AZSoll.Total</vt:lpstr>
      <vt:lpstr>Juni!Monat.AZSoll.Total</vt:lpstr>
      <vt:lpstr>Mai!Monat.AZSoll.Total</vt:lpstr>
      <vt:lpstr>März!Monat.AZSoll.Total</vt:lpstr>
      <vt:lpstr>November!Monat.AZSoll.Total</vt:lpstr>
      <vt:lpstr>Oktober!Monat.AZSoll.Total</vt:lpstr>
      <vt:lpstr>September!Monat.AZSoll.Total</vt:lpstr>
      <vt:lpstr>April!Monat.AZSoll100.Total</vt:lpstr>
      <vt:lpstr>August!Monat.AZSoll100.Total</vt:lpstr>
      <vt:lpstr>Dezember!Monat.AZSoll100.Total</vt:lpstr>
      <vt:lpstr>Februar!Monat.AZSoll100.Total</vt:lpstr>
      <vt:lpstr>Januar!Monat.AZSoll100.Total</vt:lpstr>
      <vt:lpstr>Juli!Monat.AZSoll100.Total</vt:lpstr>
      <vt:lpstr>Juni!Monat.AZSoll100.Total</vt:lpstr>
      <vt:lpstr>Mai!Monat.AZSoll100.Total</vt:lpstr>
      <vt:lpstr>März!Monat.AZSoll100.Total</vt:lpstr>
      <vt:lpstr>November!Monat.AZSoll100.Total</vt:lpstr>
      <vt:lpstr>Oktober!Monat.AZSoll100.Total</vt:lpstr>
      <vt:lpstr>September!Monat.AZSoll100.Total</vt:lpstr>
      <vt:lpstr>April!Monat.BD.Total</vt:lpstr>
      <vt:lpstr>August!Monat.BD.Total</vt:lpstr>
      <vt:lpstr>Dezember!Monat.BD.Total</vt:lpstr>
      <vt:lpstr>Februar!Monat.BD.Total</vt:lpstr>
      <vt:lpstr>Januar!Monat.BD.Total</vt:lpstr>
      <vt:lpstr>Juli!Monat.BD.Total</vt:lpstr>
      <vt:lpstr>Juni!Monat.BD.Total</vt:lpstr>
      <vt:lpstr>Mai!Monat.BD.Total</vt:lpstr>
      <vt:lpstr>März!Monat.BD.Total</vt:lpstr>
      <vt:lpstr>November!Monat.BD.Total</vt:lpstr>
      <vt:lpstr>Oktober!Monat.BD.Total</vt:lpstr>
      <vt:lpstr>September!Monat.BD.Total</vt:lpstr>
      <vt:lpstr>April!Monat.BDText</vt:lpstr>
      <vt:lpstr>August!Monat.BDText</vt:lpstr>
      <vt:lpstr>Dezember!Monat.BDText</vt:lpstr>
      <vt:lpstr>Februar!Monat.BDText</vt:lpstr>
      <vt:lpstr>Januar!Monat.BDText</vt:lpstr>
      <vt:lpstr>Juli!Monat.BDText</vt:lpstr>
      <vt:lpstr>Juni!Monat.BDText</vt:lpstr>
      <vt:lpstr>Mai!Monat.BDText</vt:lpstr>
      <vt:lpstr>März!Monat.BDText</vt:lpstr>
      <vt:lpstr>November!Monat.BDText</vt:lpstr>
      <vt:lpstr>Oktober!Monat.BDText</vt:lpstr>
      <vt:lpstr>September!Monat.BDText</vt:lpstr>
      <vt:lpstr>April!Monat.BDUeVM</vt:lpstr>
      <vt:lpstr>August!Monat.BDUeVM</vt:lpstr>
      <vt:lpstr>Dezember!Monat.BDUeVM</vt:lpstr>
      <vt:lpstr>Februar!Monat.BDUeVM</vt:lpstr>
      <vt:lpstr>Januar!Monat.BDUeVM</vt:lpstr>
      <vt:lpstr>Juli!Monat.BDUeVM</vt:lpstr>
      <vt:lpstr>Juni!Monat.BDUeVM</vt:lpstr>
      <vt:lpstr>Mai!Monat.BDUeVM</vt:lpstr>
      <vt:lpstr>März!Monat.BDUeVM</vt:lpstr>
      <vt:lpstr>November!Monat.BDUeVM</vt:lpstr>
      <vt:lpstr>Oktober!Monat.BDUeVM</vt:lpstr>
      <vt:lpstr>September!Monat.BDUeVM</vt:lpstr>
      <vt:lpstr>April!Monat.BereitschaftgesternTag1</vt:lpstr>
      <vt:lpstr>August!Monat.BereitschaftgesternTag1</vt:lpstr>
      <vt:lpstr>Dezember!Monat.BereitschaftgesternTag1</vt:lpstr>
      <vt:lpstr>Februar!Monat.BereitschaftgesternTag1</vt:lpstr>
      <vt:lpstr>Januar!Monat.BereitschaftgesternTag1</vt:lpstr>
      <vt:lpstr>Juli!Monat.BereitschaftgesternTag1</vt:lpstr>
      <vt:lpstr>Juni!Monat.BereitschaftgesternTag1</vt:lpstr>
      <vt:lpstr>Mai!Monat.BereitschaftgesternTag1</vt:lpstr>
      <vt:lpstr>März!Monat.BereitschaftgesternTag1</vt:lpstr>
      <vt:lpstr>November!Monat.BereitschaftgesternTag1</vt:lpstr>
      <vt:lpstr>Oktober!Monat.BereitschaftgesternTag1</vt:lpstr>
      <vt:lpstr>September!Monat.BereitschaftgesternTag1</vt:lpstr>
      <vt:lpstr>April!Monat.BesU.Total</vt:lpstr>
      <vt:lpstr>August!Monat.BesU.Total</vt:lpstr>
      <vt:lpstr>Dezember!Monat.BesU.Total</vt:lpstr>
      <vt:lpstr>Februar!Monat.BesU.Total</vt:lpstr>
      <vt:lpstr>Januar!Monat.BesU.Total</vt:lpstr>
      <vt:lpstr>Juli!Monat.BesU.Total</vt:lpstr>
      <vt:lpstr>Juni!Monat.BesU.Total</vt:lpstr>
      <vt:lpstr>Mai!Monat.BesU.Total</vt:lpstr>
      <vt:lpstr>März!Monat.BesU.Total</vt:lpstr>
      <vt:lpstr>November!Monat.BesU.Total</vt:lpstr>
      <vt:lpstr>Oktober!Monat.BesU.Total</vt:lpstr>
      <vt:lpstr>September!Monat.BesU.Total</vt:lpstr>
      <vt:lpstr>April!Monat.BesUrlaubText</vt:lpstr>
      <vt:lpstr>August!Monat.BesUrlaubText</vt:lpstr>
      <vt:lpstr>Dezember!Monat.BesUrlaubText</vt:lpstr>
      <vt:lpstr>Februar!Monat.BesUrlaubText</vt:lpstr>
      <vt:lpstr>Januar!Monat.BesUrlaubText</vt:lpstr>
      <vt:lpstr>Juli!Monat.BesUrlaubText</vt:lpstr>
      <vt:lpstr>Juni!Monat.BesUrlaubText</vt:lpstr>
      <vt:lpstr>Mai!Monat.BesUrlaubText</vt:lpstr>
      <vt:lpstr>März!Monat.BesUrlaubText</vt:lpstr>
      <vt:lpstr>November!Monat.BesUrlaubText</vt:lpstr>
      <vt:lpstr>Oktober!Monat.BesUrlaubText</vt:lpstr>
      <vt:lpstr>September!Monat.BesUrlaubText</vt:lpstr>
      <vt:lpstr>April!Monat.BesUrlaubUeVM</vt:lpstr>
      <vt:lpstr>August!Monat.BesUrlaubUeVM</vt:lpstr>
      <vt:lpstr>Dezember!Monat.BesUrlaubUeVM</vt:lpstr>
      <vt:lpstr>Februar!Monat.BesUrlaubUeVM</vt:lpstr>
      <vt:lpstr>Januar!Monat.BesUrlaubUeVM</vt:lpstr>
      <vt:lpstr>Juli!Monat.BesUrlaubUeVM</vt:lpstr>
      <vt:lpstr>Juni!Monat.BesUrlaubUeVM</vt:lpstr>
      <vt:lpstr>Mai!Monat.BesUrlaubUeVM</vt:lpstr>
      <vt:lpstr>März!Monat.BesUrlaubUeVM</vt:lpstr>
      <vt:lpstr>November!Monat.BesUrlaubUeVM</vt:lpstr>
      <vt:lpstr>Oktober!Monat.BesUrlaubUeVM</vt:lpstr>
      <vt:lpstr>September!Monat.BesUrlaubUeVM</vt:lpstr>
      <vt:lpstr>April!Monat.BU.Total</vt:lpstr>
      <vt:lpstr>August!Monat.BU.Total</vt:lpstr>
      <vt:lpstr>Dezember!Monat.BU.Total</vt:lpstr>
      <vt:lpstr>Februar!Monat.BU.Total</vt:lpstr>
      <vt:lpstr>Januar!Monat.BU.Total</vt:lpstr>
      <vt:lpstr>Juli!Monat.BU.Total</vt:lpstr>
      <vt:lpstr>Juni!Monat.BU.Total</vt:lpstr>
      <vt:lpstr>Mai!Monat.BU.Total</vt:lpstr>
      <vt:lpstr>März!Monat.BU.Total</vt:lpstr>
      <vt:lpstr>November!Monat.BU.Total</vt:lpstr>
      <vt:lpstr>Oktober!Monat.BU.Total</vt:lpstr>
      <vt:lpstr>September!Monat.BU.Total</vt:lpstr>
      <vt:lpstr>April!Monat.BUText</vt:lpstr>
      <vt:lpstr>August!Monat.BUText</vt:lpstr>
      <vt:lpstr>Dezember!Monat.BUText</vt:lpstr>
      <vt:lpstr>Februar!Monat.BUText</vt:lpstr>
      <vt:lpstr>Januar!Monat.BUText</vt:lpstr>
      <vt:lpstr>Juli!Monat.BUText</vt:lpstr>
      <vt:lpstr>Juni!Monat.BUText</vt:lpstr>
      <vt:lpstr>Mai!Monat.BUText</vt:lpstr>
      <vt:lpstr>März!Monat.BUText</vt:lpstr>
      <vt:lpstr>November!Monat.BUText</vt:lpstr>
      <vt:lpstr>Oktober!Monat.BUText</vt:lpstr>
      <vt:lpstr>September!Monat.BUText</vt:lpstr>
      <vt:lpstr>April!Monat.BUUeVM</vt:lpstr>
      <vt:lpstr>August!Monat.BUUeVM</vt:lpstr>
      <vt:lpstr>Dezember!Monat.BUUeVM</vt:lpstr>
      <vt:lpstr>Februar!Monat.BUUeVM</vt:lpstr>
      <vt:lpstr>Januar!Monat.BUUeVM</vt:lpstr>
      <vt:lpstr>Juli!Monat.BUUeVM</vt:lpstr>
      <vt:lpstr>Juni!Monat.BUUeVM</vt:lpstr>
      <vt:lpstr>Mai!Monat.BUUeVM</vt:lpstr>
      <vt:lpstr>März!Monat.BUUeVM</vt:lpstr>
      <vt:lpstr>November!Monat.BUUeVM</vt:lpstr>
      <vt:lpstr>Oktober!Monat.BUUeVM</vt:lpstr>
      <vt:lpstr>September!Monat.BUUeVM</vt:lpstr>
      <vt:lpstr>April!Monat.DAG.Total</vt:lpstr>
      <vt:lpstr>August!Monat.DAG.Total</vt:lpstr>
      <vt:lpstr>Dezember!Monat.DAG.Total</vt:lpstr>
      <vt:lpstr>Februar!Monat.DAG.Total</vt:lpstr>
      <vt:lpstr>Januar!Monat.DAG.Total</vt:lpstr>
      <vt:lpstr>Juli!Monat.DAG.Total</vt:lpstr>
      <vt:lpstr>Juni!Monat.DAG.Total</vt:lpstr>
      <vt:lpstr>Mai!Monat.DAG.Total</vt:lpstr>
      <vt:lpstr>März!Monat.DAG.Total</vt:lpstr>
      <vt:lpstr>November!Monat.DAG.Total</vt:lpstr>
      <vt:lpstr>Oktober!Monat.DAG.Total</vt:lpstr>
      <vt:lpstr>September!Monat.DAG.Total</vt:lpstr>
      <vt:lpstr>April!Monat.DAGText</vt:lpstr>
      <vt:lpstr>August!Monat.DAGText</vt:lpstr>
      <vt:lpstr>Dezember!Monat.DAGText</vt:lpstr>
      <vt:lpstr>Februar!Monat.DAGText</vt:lpstr>
      <vt:lpstr>Januar!Monat.DAGText</vt:lpstr>
      <vt:lpstr>Juli!Monat.DAGText</vt:lpstr>
      <vt:lpstr>Juni!Monat.DAGText</vt:lpstr>
      <vt:lpstr>Mai!Monat.DAGText</vt:lpstr>
      <vt:lpstr>März!Monat.DAGText</vt:lpstr>
      <vt:lpstr>November!Monat.DAGText</vt:lpstr>
      <vt:lpstr>Oktober!Monat.DAGText</vt:lpstr>
      <vt:lpstr>September!Monat.DAGText</vt:lpstr>
      <vt:lpstr>April!Monat.DAGUeVM</vt:lpstr>
      <vt:lpstr>August!Monat.DAGUeVM</vt:lpstr>
      <vt:lpstr>Dezember!Monat.DAGUeVM</vt:lpstr>
      <vt:lpstr>Februar!Monat.DAGUeVM</vt:lpstr>
      <vt:lpstr>Januar!Monat.DAGUeVM</vt:lpstr>
      <vt:lpstr>Juli!Monat.DAGUeVM</vt:lpstr>
      <vt:lpstr>Juni!Monat.DAGUeVM</vt:lpstr>
      <vt:lpstr>Mai!Monat.DAGUeVM</vt:lpstr>
      <vt:lpstr>März!Monat.DAGUeVM</vt:lpstr>
      <vt:lpstr>November!Monat.DAGUeVM</vt:lpstr>
      <vt:lpstr>Oktober!Monat.DAGUeVM</vt:lpstr>
      <vt:lpstr>September!Monat.DAGUeVM</vt:lpstr>
      <vt:lpstr>April!Monat.ein_aus.Total</vt:lpstr>
      <vt:lpstr>August!Monat.ein_aus.Total</vt:lpstr>
      <vt:lpstr>Dezember!Monat.ein_aus.Total</vt:lpstr>
      <vt:lpstr>Februar!Monat.ein_aus.Total</vt:lpstr>
      <vt:lpstr>Januar!Monat.ein_aus.Total</vt:lpstr>
      <vt:lpstr>Juli!Monat.ein_aus.Total</vt:lpstr>
      <vt:lpstr>Juni!Monat.ein_aus.Total</vt:lpstr>
      <vt:lpstr>Mai!Monat.ein_aus.Total</vt:lpstr>
      <vt:lpstr>März!Monat.ein_aus.Total</vt:lpstr>
      <vt:lpstr>November!Monat.ein_aus.Total</vt:lpstr>
      <vt:lpstr>Oktober!Monat.ein_aus.Total</vt:lpstr>
      <vt:lpstr>September!Monat.ein_aus.Total</vt:lpstr>
      <vt:lpstr>April!Monat.ein_aus_Pikett.Total</vt:lpstr>
      <vt:lpstr>August!Monat.ein_aus_Pikett.Total</vt:lpstr>
      <vt:lpstr>Dezember!Monat.ein_aus_Pikett.Total</vt:lpstr>
      <vt:lpstr>Februar!Monat.ein_aus_Pikett.Total</vt:lpstr>
      <vt:lpstr>Januar!Monat.ein_aus_Pikett.Total</vt:lpstr>
      <vt:lpstr>Juli!Monat.ein_aus_Pikett.Total</vt:lpstr>
      <vt:lpstr>Juni!Monat.ein_aus_Pikett.Total</vt:lpstr>
      <vt:lpstr>Mai!Monat.ein_aus_Pikett.Total</vt:lpstr>
      <vt:lpstr>März!Monat.ein_aus_Pikett.Total</vt:lpstr>
      <vt:lpstr>November!Monat.ein_aus_Pikett.Total</vt:lpstr>
      <vt:lpstr>Oktober!Monat.ein_aus_Pikett.Total</vt:lpstr>
      <vt:lpstr>September!Monat.ein_aus_Pikett.Total</vt:lpstr>
      <vt:lpstr>April!Monat.ein_aus_PikettText</vt:lpstr>
      <vt:lpstr>August!Monat.ein_aus_PikettText</vt:lpstr>
      <vt:lpstr>Dezember!Monat.ein_aus_PikettText</vt:lpstr>
      <vt:lpstr>Februar!Monat.ein_aus_PikettText</vt:lpstr>
      <vt:lpstr>Januar!Monat.ein_aus_PikettText</vt:lpstr>
      <vt:lpstr>Juli!Monat.ein_aus_PikettText</vt:lpstr>
      <vt:lpstr>Juni!Monat.ein_aus_PikettText</vt:lpstr>
      <vt:lpstr>Mai!Monat.ein_aus_PikettText</vt:lpstr>
      <vt:lpstr>März!Monat.ein_aus_PikettText</vt:lpstr>
      <vt:lpstr>November!Monat.ein_aus_PikettText</vt:lpstr>
      <vt:lpstr>Oktober!Monat.ein_aus_PikettText</vt:lpstr>
      <vt:lpstr>September!Monat.ein_aus_PikettText</vt:lpstr>
      <vt:lpstr>April!Monat.ein_ausText</vt:lpstr>
      <vt:lpstr>August!Monat.ein_ausText</vt:lpstr>
      <vt:lpstr>Dezember!Monat.ein_ausText</vt:lpstr>
      <vt:lpstr>Februar!Monat.ein_ausText</vt:lpstr>
      <vt:lpstr>Januar!Monat.ein_ausText</vt:lpstr>
      <vt:lpstr>Juli!Monat.ein_ausText</vt:lpstr>
      <vt:lpstr>Juni!Monat.ein_ausText</vt:lpstr>
      <vt:lpstr>Mai!Monat.ein_ausText</vt:lpstr>
      <vt:lpstr>März!Monat.ein_ausText</vt:lpstr>
      <vt:lpstr>November!Monat.ein_ausText</vt:lpstr>
      <vt:lpstr>Oktober!Monat.ein_ausText</vt:lpstr>
      <vt:lpstr>September!Monat.ein_ausText</vt:lpstr>
      <vt:lpstr>April!Monat.Ferien.JS</vt:lpstr>
      <vt:lpstr>August!Monat.Ferien.JS</vt:lpstr>
      <vt:lpstr>Dezember!Monat.Ferien.JS</vt:lpstr>
      <vt:lpstr>Februar!Monat.Ferien.JS</vt:lpstr>
      <vt:lpstr>Januar!Monat.Ferien.JS</vt:lpstr>
      <vt:lpstr>Juli!Monat.Ferien.JS</vt:lpstr>
      <vt:lpstr>Juni!Monat.Ferien.JS</vt:lpstr>
      <vt:lpstr>Mai!Monat.Ferien.JS</vt:lpstr>
      <vt:lpstr>März!Monat.Ferien.JS</vt:lpstr>
      <vt:lpstr>November!Monat.Ferien.JS</vt:lpstr>
      <vt:lpstr>Oktober!Monat.Ferien.JS</vt:lpstr>
      <vt:lpstr>September!Monat.Ferien.JS</vt:lpstr>
      <vt:lpstr>April!Monat.Ferien.Total</vt:lpstr>
      <vt:lpstr>August!Monat.Ferien.Total</vt:lpstr>
      <vt:lpstr>Dezember!Monat.Ferien.Total</vt:lpstr>
      <vt:lpstr>Februar!Monat.Ferien.Total</vt:lpstr>
      <vt:lpstr>Januar!Monat.Ferien.Total</vt:lpstr>
      <vt:lpstr>Juli!Monat.Ferien.Total</vt:lpstr>
      <vt:lpstr>Juni!Monat.Ferien.Total</vt:lpstr>
      <vt:lpstr>Mai!Monat.Ferien.Total</vt:lpstr>
      <vt:lpstr>März!Monat.Ferien.Total</vt:lpstr>
      <vt:lpstr>November!Monat.Ferien.Total</vt:lpstr>
      <vt:lpstr>Oktober!Monat.Ferien.Total</vt:lpstr>
      <vt:lpstr>September!Monat.Ferien.Total</vt:lpstr>
      <vt:lpstr>April!Monat.FerienKor.Total</vt:lpstr>
      <vt:lpstr>August!Monat.FerienKor.Total</vt:lpstr>
      <vt:lpstr>Dezember!Monat.FerienKor.Total</vt:lpstr>
      <vt:lpstr>Februar!Monat.FerienKor.Total</vt:lpstr>
      <vt:lpstr>Januar!Monat.FerienKor.Total</vt:lpstr>
      <vt:lpstr>Juli!Monat.FerienKor.Total</vt:lpstr>
      <vt:lpstr>Juni!Monat.FerienKor.Total</vt:lpstr>
      <vt:lpstr>Mai!Monat.FerienKor.Total</vt:lpstr>
      <vt:lpstr>März!Monat.FerienKor.Total</vt:lpstr>
      <vt:lpstr>November!Monat.FerienKor.Total</vt:lpstr>
      <vt:lpstr>Oktober!Monat.FerienKor.Total</vt:lpstr>
      <vt:lpstr>September!Monat.FerienKor.Total</vt:lpstr>
      <vt:lpstr>April!Monat.FerienText</vt:lpstr>
      <vt:lpstr>August!Monat.FerienText</vt:lpstr>
      <vt:lpstr>Dezember!Monat.FerienText</vt:lpstr>
      <vt:lpstr>Februar!Monat.FerienText</vt:lpstr>
      <vt:lpstr>Januar!Monat.FerienText</vt:lpstr>
      <vt:lpstr>Juli!Monat.FerienText</vt:lpstr>
      <vt:lpstr>Juni!Monat.FerienText</vt:lpstr>
      <vt:lpstr>Mai!Monat.FerienText</vt:lpstr>
      <vt:lpstr>März!Monat.FerienText</vt:lpstr>
      <vt:lpstr>November!Monat.FerienText</vt:lpstr>
      <vt:lpstr>Oktober!Monat.FerienText</vt:lpstr>
      <vt:lpstr>September!Monat.FerienText</vt:lpstr>
      <vt:lpstr>April!Monat.FerienUeVM</vt:lpstr>
      <vt:lpstr>August!Monat.FerienUeVM</vt:lpstr>
      <vt:lpstr>Dezember!Monat.FerienUeVM</vt:lpstr>
      <vt:lpstr>Februar!Monat.FerienUeVM</vt:lpstr>
      <vt:lpstr>Januar!Monat.FerienUeVM</vt:lpstr>
      <vt:lpstr>Juli!Monat.FerienUeVM</vt:lpstr>
      <vt:lpstr>Juni!Monat.FerienUeVM</vt:lpstr>
      <vt:lpstr>Mai!Monat.FerienUeVM</vt:lpstr>
      <vt:lpstr>März!Monat.FerienUeVM</vt:lpstr>
      <vt:lpstr>November!Monat.FerienUeVM</vt:lpstr>
      <vt:lpstr>Oktober!Monat.FerienUeVM</vt:lpstr>
      <vt:lpstr>September!Monat.FerienUeVM</vt:lpstr>
      <vt:lpstr>April!Monat.Kom.JS</vt:lpstr>
      <vt:lpstr>August!Monat.Kom.JS</vt:lpstr>
      <vt:lpstr>Dezember!Monat.Kom.JS</vt:lpstr>
      <vt:lpstr>Februar!Monat.Kom.JS</vt:lpstr>
      <vt:lpstr>Januar!Monat.Kom.JS</vt:lpstr>
      <vt:lpstr>Juli!Monat.Kom.JS</vt:lpstr>
      <vt:lpstr>Juni!Monat.Kom.JS</vt:lpstr>
      <vt:lpstr>Mai!Monat.Kom.JS</vt:lpstr>
      <vt:lpstr>März!Monat.Kom.JS</vt:lpstr>
      <vt:lpstr>November!Monat.Kom.JS</vt:lpstr>
      <vt:lpstr>Oktober!Monat.Kom.JS</vt:lpstr>
      <vt:lpstr>September!Monat.Kom.JS</vt:lpstr>
      <vt:lpstr>April!Monat.KomAZ.Total</vt:lpstr>
      <vt:lpstr>August!Monat.KomAZ.Total</vt:lpstr>
      <vt:lpstr>Dezember!Monat.KomAZ.Total</vt:lpstr>
      <vt:lpstr>Februar!Monat.KomAZ.Total</vt:lpstr>
      <vt:lpstr>Januar!Monat.KomAZ.Total</vt:lpstr>
      <vt:lpstr>Juli!Monat.KomAZ.Total</vt:lpstr>
      <vt:lpstr>Juni!Monat.KomAZ.Total</vt:lpstr>
      <vt:lpstr>Mai!Monat.KomAZ.Total</vt:lpstr>
      <vt:lpstr>März!Monat.KomAZ.Total</vt:lpstr>
      <vt:lpstr>November!Monat.KomAZ.Total</vt:lpstr>
      <vt:lpstr>Oktober!Monat.KomAZ.Total</vt:lpstr>
      <vt:lpstr>September!Monat.KomAZ.Total</vt:lpstr>
      <vt:lpstr>April!Monat.KomAZText</vt:lpstr>
      <vt:lpstr>August!Monat.KomAZText</vt:lpstr>
      <vt:lpstr>Dezember!Monat.KomAZText</vt:lpstr>
      <vt:lpstr>Februar!Monat.KomAZText</vt:lpstr>
      <vt:lpstr>Januar!Monat.KomAZText</vt:lpstr>
      <vt:lpstr>Juli!Monat.KomAZText</vt:lpstr>
      <vt:lpstr>Juni!Monat.KomAZText</vt:lpstr>
      <vt:lpstr>Mai!Monat.KomAZText</vt:lpstr>
      <vt:lpstr>März!Monat.KomAZText</vt:lpstr>
      <vt:lpstr>November!Monat.KomAZText</vt:lpstr>
      <vt:lpstr>Oktober!Monat.KomAZText</vt:lpstr>
      <vt:lpstr>September!Monat.KomAZText</vt:lpstr>
      <vt:lpstr>April!Monat.KompAZInd.UeVM</vt:lpstr>
      <vt:lpstr>August!Monat.KompAZInd.UeVM</vt:lpstr>
      <vt:lpstr>Dezember!Monat.KompAZInd.UeVM</vt:lpstr>
      <vt:lpstr>Februar!Monat.KompAZInd.UeVM</vt:lpstr>
      <vt:lpstr>Januar!Monat.KompAZInd.UeVM</vt:lpstr>
      <vt:lpstr>Juli!Monat.KompAZInd.UeVM</vt:lpstr>
      <vt:lpstr>Juni!Monat.KompAZInd.UeVM</vt:lpstr>
      <vt:lpstr>Mai!Monat.KompAZInd.UeVM</vt:lpstr>
      <vt:lpstr>März!Monat.KompAZInd.UeVM</vt:lpstr>
      <vt:lpstr>November!Monat.KompAZInd.UeVM</vt:lpstr>
      <vt:lpstr>Oktober!Monat.KompAZInd.UeVM</vt:lpstr>
      <vt:lpstr>September!Monat.KompAZInd.UeVM</vt:lpstr>
      <vt:lpstr>April!Monat.KompZZSND.Total</vt:lpstr>
      <vt:lpstr>August!Monat.KompZZSND.Total</vt:lpstr>
      <vt:lpstr>Dezember!Monat.KompZZSND.Total</vt:lpstr>
      <vt:lpstr>Februar!Monat.KompZZSND.Total</vt:lpstr>
      <vt:lpstr>Januar!Monat.KompZZSND.Total</vt:lpstr>
      <vt:lpstr>Juli!Monat.KompZZSND.Total</vt:lpstr>
      <vt:lpstr>Juni!Monat.KompZZSND.Total</vt:lpstr>
      <vt:lpstr>Mai!Monat.KompZZSND.Total</vt:lpstr>
      <vt:lpstr>März!Monat.KompZZSND.Total</vt:lpstr>
      <vt:lpstr>November!Monat.KompZZSND.Total</vt:lpstr>
      <vt:lpstr>Oktober!Monat.KompZZSND.Total</vt:lpstr>
      <vt:lpstr>September!Monat.KompZZSND.Total</vt:lpstr>
      <vt:lpstr>April!Monat.KompZZSNDText</vt:lpstr>
      <vt:lpstr>August!Monat.KompZZSNDText</vt:lpstr>
      <vt:lpstr>Dezember!Monat.KompZZSNDText</vt:lpstr>
      <vt:lpstr>Februar!Monat.KompZZSNDText</vt:lpstr>
      <vt:lpstr>Januar!Monat.KompZZSNDText</vt:lpstr>
      <vt:lpstr>Juli!Monat.KompZZSNDText</vt:lpstr>
      <vt:lpstr>Juni!Monat.KompZZSNDText</vt:lpstr>
      <vt:lpstr>Mai!Monat.KompZZSNDText</vt:lpstr>
      <vt:lpstr>März!Monat.KompZZSNDText</vt:lpstr>
      <vt:lpstr>November!Monat.KompZZSNDText</vt:lpstr>
      <vt:lpstr>Oktober!Monat.KompZZSNDText</vt:lpstr>
      <vt:lpstr>September!Monat.KompZZSNDText</vt:lpstr>
      <vt:lpstr>April!Monat.KompZZSNDUeVM</vt:lpstr>
      <vt:lpstr>August!Monat.KompZZSNDUeVM</vt:lpstr>
      <vt:lpstr>Dezember!Monat.KompZZSNDUeVM</vt:lpstr>
      <vt:lpstr>Februar!Monat.KompZZSNDUeVM</vt:lpstr>
      <vt:lpstr>Januar!Monat.KompZZSNDUeVM</vt:lpstr>
      <vt:lpstr>Juli!Monat.KompZZSNDUeVM</vt:lpstr>
      <vt:lpstr>Juni!Monat.KompZZSNDUeVM</vt:lpstr>
      <vt:lpstr>Mai!Monat.KompZZSNDUeVM</vt:lpstr>
      <vt:lpstr>März!Monat.KompZZSNDUeVM</vt:lpstr>
      <vt:lpstr>November!Monat.KompZZSNDUeVM</vt:lpstr>
      <vt:lpstr>Oktober!Monat.KompZZSNDUeVM</vt:lpstr>
      <vt:lpstr>September!Monat.KompZZSNDUeVM</vt:lpstr>
      <vt:lpstr>April!Monat.KomUeVM</vt:lpstr>
      <vt:lpstr>August!Monat.KomUeVM</vt:lpstr>
      <vt:lpstr>Dezember!Monat.KomUeVM</vt:lpstr>
      <vt:lpstr>Februar!Monat.KomUeVM</vt:lpstr>
      <vt:lpstr>Januar!Monat.KomUeVM</vt:lpstr>
      <vt:lpstr>Juli!Monat.KomUeVM</vt:lpstr>
      <vt:lpstr>Juni!Monat.KomUeVM</vt:lpstr>
      <vt:lpstr>Mai!Monat.KomUeVM</vt:lpstr>
      <vt:lpstr>März!Monat.KomUeVM</vt:lpstr>
      <vt:lpstr>November!Monat.KomUeVM</vt:lpstr>
      <vt:lpstr>Oktober!Monat.KomUeVM</vt:lpstr>
      <vt:lpstr>September!Monat.KomUeVM</vt:lpstr>
      <vt:lpstr>April!Monat.KomUeZ.Total</vt:lpstr>
      <vt:lpstr>August!Monat.KomUeZ.Total</vt:lpstr>
      <vt:lpstr>Dezember!Monat.KomUeZ.Total</vt:lpstr>
      <vt:lpstr>Februar!Monat.KomUeZ.Total</vt:lpstr>
      <vt:lpstr>Januar!Monat.KomUeZ.Total</vt:lpstr>
      <vt:lpstr>Juli!Monat.KomUeZ.Total</vt:lpstr>
      <vt:lpstr>Juni!Monat.KomUeZ.Total</vt:lpstr>
      <vt:lpstr>Mai!Monat.KomUeZ.Total</vt:lpstr>
      <vt:lpstr>März!Monat.KomUeZ.Total</vt:lpstr>
      <vt:lpstr>November!Monat.KomUeZ.Total</vt:lpstr>
      <vt:lpstr>Oktober!Monat.KomUeZ.Total</vt:lpstr>
      <vt:lpstr>September!Monat.KomUeZ.Total</vt:lpstr>
      <vt:lpstr>April!Monat.KomUeZText</vt:lpstr>
      <vt:lpstr>August!Monat.KomUeZText</vt:lpstr>
      <vt:lpstr>Dezember!Monat.KomUeZText</vt:lpstr>
      <vt:lpstr>Februar!Monat.KomUeZText</vt:lpstr>
      <vt:lpstr>Januar!Monat.KomUeZText</vt:lpstr>
      <vt:lpstr>Juli!Monat.KomUeZText</vt:lpstr>
      <vt:lpstr>Juni!Monat.KomUeZText</vt:lpstr>
      <vt:lpstr>Mai!Monat.KomUeZText</vt:lpstr>
      <vt:lpstr>März!Monat.KomUeZText</vt:lpstr>
      <vt:lpstr>November!Monat.KomUeZText</vt:lpstr>
      <vt:lpstr>Oktober!Monat.KomUeZText</vt:lpstr>
      <vt:lpstr>September!Monat.KomUeZText</vt:lpstr>
      <vt:lpstr>April!Monat.Krank.Total</vt:lpstr>
      <vt:lpstr>August!Monat.Krank.Total</vt:lpstr>
      <vt:lpstr>Dezember!Monat.Krank.Total</vt:lpstr>
      <vt:lpstr>Februar!Monat.Krank.Total</vt:lpstr>
      <vt:lpstr>Januar!Monat.Krank.Total</vt:lpstr>
      <vt:lpstr>Juli!Monat.Krank.Total</vt:lpstr>
      <vt:lpstr>Juni!Monat.Krank.Total</vt:lpstr>
      <vt:lpstr>Mai!Monat.Krank.Total</vt:lpstr>
      <vt:lpstr>März!Monat.Krank.Total</vt:lpstr>
      <vt:lpstr>November!Monat.Krank.Total</vt:lpstr>
      <vt:lpstr>Oktober!Monat.Krank.Total</vt:lpstr>
      <vt:lpstr>September!Monat.Krank.Total</vt:lpstr>
      <vt:lpstr>April!Monat.KrankText</vt:lpstr>
      <vt:lpstr>August!Monat.KrankText</vt:lpstr>
      <vt:lpstr>Dezember!Monat.KrankText</vt:lpstr>
      <vt:lpstr>Februar!Monat.KrankText</vt:lpstr>
      <vt:lpstr>Januar!Monat.KrankText</vt:lpstr>
      <vt:lpstr>Juli!Monat.KrankText</vt:lpstr>
      <vt:lpstr>Juni!Monat.KrankText</vt:lpstr>
      <vt:lpstr>Mai!Monat.KrankText</vt:lpstr>
      <vt:lpstr>März!Monat.KrankText</vt:lpstr>
      <vt:lpstr>November!Monat.KrankText</vt:lpstr>
      <vt:lpstr>Oktober!Monat.KrankText</vt:lpstr>
      <vt:lpstr>September!Monat.KrankText</vt:lpstr>
      <vt:lpstr>April!Monat.KrankUeVM</vt:lpstr>
      <vt:lpstr>August!Monat.KrankUeVM</vt:lpstr>
      <vt:lpstr>Dezember!Monat.KrankUeVM</vt:lpstr>
      <vt:lpstr>Februar!Monat.KrankUeVM</vt:lpstr>
      <vt:lpstr>Januar!Monat.KrankUeVM</vt:lpstr>
      <vt:lpstr>Juli!Monat.KrankUeVM</vt:lpstr>
      <vt:lpstr>Juni!Monat.KrankUeVM</vt:lpstr>
      <vt:lpstr>Mai!Monat.KrankUeVM</vt:lpstr>
      <vt:lpstr>März!Monat.KrankUeVM</vt:lpstr>
      <vt:lpstr>November!Monat.KrankUeVM</vt:lpstr>
      <vt:lpstr>Oktober!Monat.KrankUeVM</vt:lpstr>
      <vt:lpstr>September!Monat.KrankUeVM</vt:lpstr>
      <vt:lpstr>April!Monat.Militaer.Total</vt:lpstr>
      <vt:lpstr>August!Monat.Militaer.Total</vt:lpstr>
      <vt:lpstr>Dezember!Monat.Militaer.Total</vt:lpstr>
      <vt:lpstr>Februar!Monat.Militaer.Total</vt:lpstr>
      <vt:lpstr>Januar!Monat.Militaer.Total</vt:lpstr>
      <vt:lpstr>Juli!Monat.Militaer.Total</vt:lpstr>
      <vt:lpstr>Juni!Monat.Militaer.Total</vt:lpstr>
      <vt:lpstr>Mai!Monat.Militaer.Total</vt:lpstr>
      <vt:lpstr>März!Monat.Militaer.Total</vt:lpstr>
      <vt:lpstr>November!Monat.Militaer.Total</vt:lpstr>
      <vt:lpstr>Oktober!Monat.Militaer.Total</vt:lpstr>
      <vt:lpstr>September!Monat.Militaer.Total</vt:lpstr>
      <vt:lpstr>April!Monat.MMS.Total</vt:lpstr>
      <vt:lpstr>August!Monat.MMS.Total</vt:lpstr>
      <vt:lpstr>Dezember!Monat.MMS.Total</vt:lpstr>
      <vt:lpstr>Februar!Monat.MMS.Total</vt:lpstr>
      <vt:lpstr>Januar!Monat.MMS.Total</vt:lpstr>
      <vt:lpstr>Juli!Monat.MMS.Total</vt:lpstr>
      <vt:lpstr>Juni!Monat.MMS.Total</vt:lpstr>
      <vt:lpstr>Mai!Monat.MMS.Total</vt:lpstr>
      <vt:lpstr>März!Monat.MMS.Total</vt:lpstr>
      <vt:lpstr>November!Monat.MMS.Total</vt:lpstr>
      <vt:lpstr>Oktober!Monat.MMS.Total</vt:lpstr>
      <vt:lpstr>September!Monat.MMS.Total</vt:lpstr>
      <vt:lpstr>April!Monat.MMS.UeVM</vt:lpstr>
      <vt:lpstr>August!Monat.MMS.UeVM</vt:lpstr>
      <vt:lpstr>Dezember!Monat.MMS.UeVM</vt:lpstr>
      <vt:lpstr>Februar!Monat.MMS.UeVM</vt:lpstr>
      <vt:lpstr>Januar!Monat.MMS.UeVM</vt:lpstr>
      <vt:lpstr>Juli!Monat.MMS.UeVM</vt:lpstr>
      <vt:lpstr>Juni!Monat.MMS.UeVM</vt:lpstr>
      <vt:lpstr>Mai!Monat.MMS.UeVM</vt:lpstr>
      <vt:lpstr>März!Monat.MMS.UeVM</vt:lpstr>
      <vt:lpstr>November!Monat.MMS.UeVM</vt:lpstr>
      <vt:lpstr>Oktober!Monat.MMS.UeVM</vt:lpstr>
      <vt:lpstr>September!Monat.MMS.UeVM</vt:lpstr>
      <vt:lpstr>April!Monat.MZSText</vt:lpstr>
      <vt:lpstr>August!Monat.MZSText</vt:lpstr>
      <vt:lpstr>Dezember!Monat.MZSText</vt:lpstr>
      <vt:lpstr>Februar!Monat.MZSText</vt:lpstr>
      <vt:lpstr>Januar!Monat.MZSText</vt:lpstr>
      <vt:lpstr>Juli!Monat.MZSText</vt:lpstr>
      <vt:lpstr>Juni!Monat.MZSText</vt:lpstr>
      <vt:lpstr>Mai!Monat.MZSText</vt:lpstr>
      <vt:lpstr>März!Monat.MZSText</vt:lpstr>
      <vt:lpstr>November!Monat.MZSText</vt:lpstr>
      <vt:lpstr>Oktober!Monat.MZSText</vt:lpstr>
      <vt:lpstr>September!Monat.MZSText</vt:lpstr>
      <vt:lpstr>April!Monat.MZSUeVM</vt:lpstr>
      <vt:lpstr>August!Monat.MZSUeVM</vt:lpstr>
      <vt:lpstr>Dezember!Monat.MZSUeVM</vt:lpstr>
      <vt:lpstr>Februar!Monat.MZSUeVM</vt:lpstr>
      <vt:lpstr>Januar!Monat.MZSUeVM</vt:lpstr>
      <vt:lpstr>Juli!Monat.MZSUeVM</vt:lpstr>
      <vt:lpstr>Juni!Monat.MZSUeVM</vt:lpstr>
      <vt:lpstr>Mai!Monat.MZSUeVM</vt:lpstr>
      <vt:lpstr>März!Monat.MZSUeVM</vt:lpstr>
      <vt:lpstr>November!Monat.MZSUeVM</vt:lpstr>
      <vt:lpstr>Oktober!Monat.MZSUeVM</vt:lpstr>
      <vt:lpstr>September!Monat.MZSUeVM</vt:lpstr>
      <vt:lpstr>April!Monat.NB.Total</vt:lpstr>
      <vt:lpstr>August!Monat.NB.Total</vt:lpstr>
      <vt:lpstr>Dezember!Monat.NB.Total</vt:lpstr>
      <vt:lpstr>Februar!Monat.NB.Total</vt:lpstr>
      <vt:lpstr>Januar!Monat.NB.Total</vt:lpstr>
      <vt:lpstr>Juli!Monat.NB.Total</vt:lpstr>
      <vt:lpstr>Juni!Monat.NB.Total</vt:lpstr>
      <vt:lpstr>Mai!Monat.NB.Total</vt:lpstr>
      <vt:lpstr>März!Monat.NB.Total</vt:lpstr>
      <vt:lpstr>November!Monat.NB.Total</vt:lpstr>
      <vt:lpstr>Oktober!Monat.NB.Total</vt:lpstr>
      <vt:lpstr>September!Monat.NB.Total</vt:lpstr>
      <vt:lpstr>April!Monat.NBText</vt:lpstr>
      <vt:lpstr>August!Monat.NBText</vt:lpstr>
      <vt:lpstr>Dezember!Monat.NBText</vt:lpstr>
      <vt:lpstr>Februar!Monat.NBText</vt:lpstr>
      <vt:lpstr>Januar!Monat.NBText</vt:lpstr>
      <vt:lpstr>Juli!Monat.NBText</vt:lpstr>
      <vt:lpstr>Juni!Monat.NBText</vt:lpstr>
      <vt:lpstr>Mai!Monat.NBText</vt:lpstr>
      <vt:lpstr>März!Monat.NBText</vt:lpstr>
      <vt:lpstr>November!Monat.NBText</vt:lpstr>
      <vt:lpstr>Oktober!Monat.NBText</vt:lpstr>
      <vt:lpstr>September!Monat.NBText</vt:lpstr>
      <vt:lpstr>April!Monat.NBU.Total</vt:lpstr>
      <vt:lpstr>August!Monat.NBU.Total</vt:lpstr>
      <vt:lpstr>Dezember!Monat.NBU.Total</vt:lpstr>
      <vt:lpstr>Februar!Monat.NBU.Total</vt:lpstr>
      <vt:lpstr>Januar!Monat.NBU.Total</vt:lpstr>
      <vt:lpstr>Juli!Monat.NBU.Total</vt:lpstr>
      <vt:lpstr>Juni!Monat.NBU.Total</vt:lpstr>
      <vt:lpstr>Mai!Monat.NBU.Total</vt:lpstr>
      <vt:lpstr>März!Monat.NBU.Total</vt:lpstr>
      <vt:lpstr>November!Monat.NBU.Total</vt:lpstr>
      <vt:lpstr>Oktober!Monat.NBU.Total</vt:lpstr>
      <vt:lpstr>September!Monat.NBU.Total</vt:lpstr>
      <vt:lpstr>April!Monat.NBUeVM</vt:lpstr>
      <vt:lpstr>August!Monat.NBUeVM</vt:lpstr>
      <vt:lpstr>Dezember!Monat.NBUeVM</vt:lpstr>
      <vt:lpstr>Februar!Monat.NBUeVM</vt:lpstr>
      <vt:lpstr>Januar!Monat.NBUeVM</vt:lpstr>
      <vt:lpstr>Juli!Monat.NBUeVM</vt:lpstr>
      <vt:lpstr>Juni!Monat.NBUeVM</vt:lpstr>
      <vt:lpstr>Mai!Monat.NBUeVM</vt:lpstr>
      <vt:lpstr>März!Monat.NBUeVM</vt:lpstr>
      <vt:lpstr>November!Monat.NBUeVM</vt:lpstr>
      <vt:lpstr>Oktober!Monat.NBUeVM</vt:lpstr>
      <vt:lpstr>September!Monat.NBUeVM</vt:lpstr>
      <vt:lpstr>April!Monat.NBUText</vt:lpstr>
      <vt:lpstr>August!Monat.NBUText</vt:lpstr>
      <vt:lpstr>Dezember!Monat.NBUText</vt:lpstr>
      <vt:lpstr>Februar!Monat.NBUText</vt:lpstr>
      <vt:lpstr>Januar!Monat.NBUText</vt:lpstr>
      <vt:lpstr>Juli!Monat.NBUText</vt:lpstr>
      <vt:lpstr>Juni!Monat.NBUText</vt:lpstr>
      <vt:lpstr>Mai!Monat.NBUText</vt:lpstr>
      <vt:lpstr>März!Monat.NBUText</vt:lpstr>
      <vt:lpstr>November!Monat.NBUText</vt:lpstr>
      <vt:lpstr>Oktober!Monat.NBUText</vt:lpstr>
      <vt:lpstr>September!Monat.NBUText</vt:lpstr>
      <vt:lpstr>April!Monat.NBUUeVM</vt:lpstr>
      <vt:lpstr>August!Monat.NBUUeVM</vt:lpstr>
      <vt:lpstr>Dezember!Monat.NBUUeVM</vt:lpstr>
      <vt:lpstr>Februar!Monat.NBUUeVM</vt:lpstr>
      <vt:lpstr>Januar!Monat.NBUUeVM</vt:lpstr>
      <vt:lpstr>Juli!Monat.NBUUeVM</vt:lpstr>
      <vt:lpstr>Juni!Monat.NBUUeVM</vt:lpstr>
      <vt:lpstr>Mai!Monat.NBUUeVM</vt:lpstr>
      <vt:lpstr>März!Monat.NBUUeVM</vt:lpstr>
      <vt:lpstr>November!Monat.NBUUeVM</vt:lpstr>
      <vt:lpstr>Oktober!Monat.NBUUeVM</vt:lpstr>
      <vt:lpstr>September!Monat.NBUUeVM</vt:lpstr>
      <vt:lpstr>April!Monat.ND.Total</vt:lpstr>
      <vt:lpstr>August!Monat.ND.Total</vt:lpstr>
      <vt:lpstr>Dezember!Monat.ND.Total</vt:lpstr>
      <vt:lpstr>Februar!Monat.ND.Total</vt:lpstr>
      <vt:lpstr>Januar!Monat.ND.Total</vt:lpstr>
      <vt:lpstr>Juli!Monat.ND.Total</vt:lpstr>
      <vt:lpstr>Juni!Monat.ND.Total</vt:lpstr>
      <vt:lpstr>Mai!Monat.ND.Total</vt:lpstr>
      <vt:lpstr>März!Monat.ND.Total</vt:lpstr>
      <vt:lpstr>November!Monat.ND.Total</vt:lpstr>
      <vt:lpstr>Oktober!Monat.ND.Total</vt:lpstr>
      <vt:lpstr>September!Monat.ND.Total</vt:lpstr>
      <vt:lpstr>April!Monat.NDgesternTag1</vt:lpstr>
      <vt:lpstr>August!Monat.NDgesternTag1</vt:lpstr>
      <vt:lpstr>Dezember!Monat.NDgesternTag1</vt:lpstr>
      <vt:lpstr>Februar!Monat.NDgesternTag1</vt:lpstr>
      <vt:lpstr>Januar!Monat.NDgesternTag1</vt:lpstr>
      <vt:lpstr>Juli!Monat.NDgesternTag1</vt:lpstr>
      <vt:lpstr>Juni!Monat.NDgesternTag1</vt:lpstr>
      <vt:lpstr>Mai!Monat.NDgesternTag1</vt:lpstr>
      <vt:lpstr>März!Monat.NDgesternTag1</vt:lpstr>
      <vt:lpstr>November!Monat.NDgesternTag1</vt:lpstr>
      <vt:lpstr>Oktober!Monat.NDgesternTag1</vt:lpstr>
      <vt:lpstr>September!Monat.NDgesternTag1</vt:lpstr>
      <vt:lpstr>April!Monat.NDText</vt:lpstr>
      <vt:lpstr>August!Monat.NDText</vt:lpstr>
      <vt:lpstr>Dezember!Monat.NDText</vt:lpstr>
      <vt:lpstr>Februar!Monat.NDText</vt:lpstr>
      <vt:lpstr>Januar!Monat.NDText</vt:lpstr>
      <vt:lpstr>Juli!Monat.NDText</vt:lpstr>
      <vt:lpstr>Juni!Monat.NDText</vt:lpstr>
      <vt:lpstr>Mai!Monat.NDText</vt:lpstr>
      <vt:lpstr>März!Monat.NDText</vt:lpstr>
      <vt:lpstr>November!Monat.NDText</vt:lpstr>
      <vt:lpstr>Oktober!Monat.NDText</vt:lpstr>
      <vt:lpstr>September!Monat.NDText</vt:lpstr>
      <vt:lpstr>April!Monat.NDUeVM</vt:lpstr>
      <vt:lpstr>August!Monat.NDUeVM</vt:lpstr>
      <vt:lpstr>Dezember!Monat.NDUeVM</vt:lpstr>
      <vt:lpstr>Februar!Monat.NDUeVM</vt:lpstr>
      <vt:lpstr>Januar!Monat.NDUeVM</vt:lpstr>
      <vt:lpstr>Juli!Monat.NDUeVM</vt:lpstr>
      <vt:lpstr>Juni!Monat.NDUeVM</vt:lpstr>
      <vt:lpstr>Mai!Monat.NDUeVM</vt:lpstr>
      <vt:lpstr>März!Monat.NDUeVM</vt:lpstr>
      <vt:lpstr>November!Monat.NDUeVM</vt:lpstr>
      <vt:lpstr>Oktober!Monat.NDUeVM</vt:lpstr>
      <vt:lpstr>September!Monat.NDUeVM</vt:lpstr>
      <vt:lpstr>April!Monat.P10UeVM</vt:lpstr>
      <vt:lpstr>August!Monat.P10UeVM</vt:lpstr>
      <vt:lpstr>Dezember!Monat.P10UeVM</vt:lpstr>
      <vt:lpstr>Februar!Monat.P10UeVM</vt:lpstr>
      <vt:lpstr>Januar!Monat.P10UeVM</vt:lpstr>
      <vt:lpstr>Juli!Monat.P10UeVM</vt:lpstr>
      <vt:lpstr>Juni!Monat.P10UeVM</vt:lpstr>
      <vt:lpstr>Mai!Monat.P10UeVM</vt:lpstr>
      <vt:lpstr>März!Monat.P10UeVM</vt:lpstr>
      <vt:lpstr>November!Monat.P10UeVM</vt:lpstr>
      <vt:lpstr>Oktober!Monat.P10UeVM</vt:lpstr>
      <vt:lpstr>September!Monat.P10UeVM</vt:lpstr>
      <vt:lpstr>April!Monat.P11UeVM</vt:lpstr>
      <vt:lpstr>August!Monat.P11UeVM</vt:lpstr>
      <vt:lpstr>Dezember!Monat.P11UeVM</vt:lpstr>
      <vt:lpstr>Februar!Monat.P11UeVM</vt:lpstr>
      <vt:lpstr>Januar!Monat.P11UeVM</vt:lpstr>
      <vt:lpstr>Juli!Monat.P11UeVM</vt:lpstr>
      <vt:lpstr>Juni!Monat.P11UeVM</vt:lpstr>
      <vt:lpstr>Mai!Monat.P11UeVM</vt:lpstr>
      <vt:lpstr>März!Monat.P11UeVM</vt:lpstr>
      <vt:lpstr>November!Monat.P11UeVM</vt:lpstr>
      <vt:lpstr>Oktober!Monat.P11UeVM</vt:lpstr>
      <vt:lpstr>September!Monat.P11UeVM</vt:lpstr>
      <vt:lpstr>April!Monat.P12UeVM</vt:lpstr>
      <vt:lpstr>August!Monat.P12UeVM</vt:lpstr>
      <vt:lpstr>Dezember!Monat.P12UeVM</vt:lpstr>
      <vt:lpstr>Februar!Monat.P12UeVM</vt:lpstr>
      <vt:lpstr>Januar!Monat.P12UeVM</vt:lpstr>
      <vt:lpstr>Juli!Monat.P12UeVM</vt:lpstr>
      <vt:lpstr>Juni!Monat.P12UeVM</vt:lpstr>
      <vt:lpstr>Mai!Monat.P12UeVM</vt:lpstr>
      <vt:lpstr>März!Monat.P12UeVM</vt:lpstr>
      <vt:lpstr>November!Monat.P12UeVM</vt:lpstr>
      <vt:lpstr>Oktober!Monat.P12UeVM</vt:lpstr>
      <vt:lpstr>September!Monat.P12UeVM</vt:lpstr>
      <vt:lpstr>April!Monat.P13UeVM</vt:lpstr>
      <vt:lpstr>August!Monat.P13UeVM</vt:lpstr>
      <vt:lpstr>Dezember!Monat.P13UeVM</vt:lpstr>
      <vt:lpstr>Februar!Monat.P13UeVM</vt:lpstr>
      <vt:lpstr>Januar!Monat.P13UeVM</vt:lpstr>
      <vt:lpstr>Juli!Monat.P13UeVM</vt:lpstr>
      <vt:lpstr>Juni!Monat.P13UeVM</vt:lpstr>
      <vt:lpstr>Mai!Monat.P13UeVM</vt:lpstr>
      <vt:lpstr>März!Monat.P13UeVM</vt:lpstr>
      <vt:lpstr>November!Monat.P13UeVM</vt:lpstr>
      <vt:lpstr>Oktober!Monat.P13UeVM</vt:lpstr>
      <vt:lpstr>September!Monat.P13UeVM</vt:lpstr>
      <vt:lpstr>April!Monat.P14UeVM</vt:lpstr>
      <vt:lpstr>August!Monat.P14UeVM</vt:lpstr>
      <vt:lpstr>Dezember!Monat.P14UeVM</vt:lpstr>
      <vt:lpstr>Februar!Monat.P14UeVM</vt:lpstr>
      <vt:lpstr>Januar!Monat.P14UeVM</vt:lpstr>
      <vt:lpstr>Juli!Monat.P14UeVM</vt:lpstr>
      <vt:lpstr>Juni!Monat.P14UeVM</vt:lpstr>
      <vt:lpstr>Mai!Monat.P14UeVM</vt:lpstr>
      <vt:lpstr>März!Monat.P14UeVM</vt:lpstr>
      <vt:lpstr>November!Monat.P14UeVM</vt:lpstr>
      <vt:lpstr>Oktober!Monat.P14UeVM</vt:lpstr>
      <vt:lpstr>September!Monat.P14UeVM</vt:lpstr>
      <vt:lpstr>April!Monat.P15UeVM</vt:lpstr>
      <vt:lpstr>August!Monat.P15UeVM</vt:lpstr>
      <vt:lpstr>Dezember!Monat.P15UeVM</vt:lpstr>
      <vt:lpstr>Februar!Monat.P15UeVM</vt:lpstr>
      <vt:lpstr>Januar!Monat.P15UeVM</vt:lpstr>
      <vt:lpstr>Juli!Monat.P15UeVM</vt:lpstr>
      <vt:lpstr>Juni!Monat.P15UeVM</vt:lpstr>
      <vt:lpstr>Mai!Monat.P15UeVM</vt:lpstr>
      <vt:lpstr>März!Monat.P15UeVM</vt:lpstr>
      <vt:lpstr>November!Monat.P15UeVM</vt:lpstr>
      <vt:lpstr>Oktober!Monat.P15UeVM</vt:lpstr>
      <vt:lpstr>September!Monat.P15UeVM</vt:lpstr>
      <vt:lpstr>April!Monat.P1UeVM</vt:lpstr>
      <vt:lpstr>August!Monat.P1UeVM</vt:lpstr>
      <vt:lpstr>Dezember!Monat.P1UeVM</vt:lpstr>
      <vt:lpstr>Februar!Monat.P1UeVM</vt:lpstr>
      <vt:lpstr>Januar!Monat.P1UeVM</vt:lpstr>
      <vt:lpstr>Juli!Monat.P1UeVM</vt:lpstr>
      <vt:lpstr>Juni!Monat.P1UeVM</vt:lpstr>
      <vt:lpstr>Mai!Monat.P1UeVM</vt:lpstr>
      <vt:lpstr>März!Monat.P1UeVM</vt:lpstr>
      <vt:lpstr>November!Monat.P1UeVM</vt:lpstr>
      <vt:lpstr>Oktober!Monat.P1UeVM</vt:lpstr>
      <vt:lpstr>September!Monat.P1UeVM</vt:lpstr>
      <vt:lpstr>April!Monat.P2UeVM</vt:lpstr>
      <vt:lpstr>August!Monat.P2UeVM</vt:lpstr>
      <vt:lpstr>Dezember!Monat.P2UeVM</vt:lpstr>
      <vt:lpstr>Februar!Monat.P2UeVM</vt:lpstr>
      <vt:lpstr>Januar!Monat.P2UeVM</vt:lpstr>
      <vt:lpstr>Juli!Monat.P2UeVM</vt:lpstr>
      <vt:lpstr>Juni!Monat.P2UeVM</vt:lpstr>
      <vt:lpstr>Mai!Monat.P2UeVM</vt:lpstr>
      <vt:lpstr>März!Monat.P2UeVM</vt:lpstr>
      <vt:lpstr>November!Monat.P2UeVM</vt:lpstr>
      <vt:lpstr>Oktober!Monat.P2UeVM</vt:lpstr>
      <vt:lpstr>September!Monat.P2UeVM</vt:lpstr>
      <vt:lpstr>April!Monat.P3UeVM</vt:lpstr>
      <vt:lpstr>August!Monat.P3UeVM</vt:lpstr>
      <vt:lpstr>Dezember!Monat.P3UeVM</vt:lpstr>
      <vt:lpstr>Februar!Monat.P3UeVM</vt:lpstr>
      <vt:lpstr>Januar!Monat.P3UeVM</vt:lpstr>
      <vt:lpstr>Juli!Monat.P3UeVM</vt:lpstr>
      <vt:lpstr>Juni!Monat.P3UeVM</vt:lpstr>
      <vt:lpstr>Mai!Monat.P3UeVM</vt:lpstr>
      <vt:lpstr>März!Monat.P3UeVM</vt:lpstr>
      <vt:lpstr>November!Monat.P3UeVM</vt:lpstr>
      <vt:lpstr>Oktober!Monat.P3UeVM</vt:lpstr>
      <vt:lpstr>September!Monat.P3UeVM</vt:lpstr>
      <vt:lpstr>April!Monat.P4UeVM</vt:lpstr>
      <vt:lpstr>August!Monat.P4UeVM</vt:lpstr>
      <vt:lpstr>Dezember!Monat.P4UeVM</vt:lpstr>
      <vt:lpstr>Februar!Monat.P4UeVM</vt:lpstr>
      <vt:lpstr>Januar!Monat.P4UeVM</vt:lpstr>
      <vt:lpstr>Juli!Monat.P4UeVM</vt:lpstr>
      <vt:lpstr>Juni!Monat.P4UeVM</vt:lpstr>
      <vt:lpstr>Mai!Monat.P4UeVM</vt:lpstr>
      <vt:lpstr>März!Monat.P4UeVM</vt:lpstr>
      <vt:lpstr>November!Monat.P4UeVM</vt:lpstr>
      <vt:lpstr>Oktober!Monat.P4UeVM</vt:lpstr>
      <vt:lpstr>September!Monat.P4UeVM</vt:lpstr>
      <vt:lpstr>April!Monat.P5UeVM</vt:lpstr>
      <vt:lpstr>August!Monat.P5UeVM</vt:lpstr>
      <vt:lpstr>Dezember!Monat.P5UeVM</vt:lpstr>
      <vt:lpstr>Februar!Monat.P5UeVM</vt:lpstr>
      <vt:lpstr>Januar!Monat.P5UeVM</vt:lpstr>
      <vt:lpstr>Juli!Monat.P5UeVM</vt:lpstr>
      <vt:lpstr>Juni!Monat.P5UeVM</vt:lpstr>
      <vt:lpstr>Mai!Monat.P5UeVM</vt:lpstr>
      <vt:lpstr>März!Monat.P5UeVM</vt:lpstr>
      <vt:lpstr>November!Monat.P5UeVM</vt:lpstr>
      <vt:lpstr>Oktober!Monat.P5UeVM</vt:lpstr>
      <vt:lpstr>September!Monat.P5UeVM</vt:lpstr>
      <vt:lpstr>April!Monat.P6UeVM</vt:lpstr>
      <vt:lpstr>August!Monat.P6UeVM</vt:lpstr>
      <vt:lpstr>Dezember!Monat.P6UeVM</vt:lpstr>
      <vt:lpstr>Februar!Monat.P6UeVM</vt:lpstr>
      <vt:lpstr>Januar!Monat.P6UeVM</vt:lpstr>
      <vt:lpstr>Juli!Monat.P6UeVM</vt:lpstr>
      <vt:lpstr>Juni!Monat.P6UeVM</vt:lpstr>
      <vt:lpstr>Mai!Monat.P6UeVM</vt:lpstr>
      <vt:lpstr>März!Monat.P6UeVM</vt:lpstr>
      <vt:lpstr>November!Monat.P6UeVM</vt:lpstr>
      <vt:lpstr>Oktober!Monat.P6UeVM</vt:lpstr>
      <vt:lpstr>September!Monat.P6UeVM</vt:lpstr>
      <vt:lpstr>April!Monat.P7UeVM</vt:lpstr>
      <vt:lpstr>August!Monat.P7UeVM</vt:lpstr>
      <vt:lpstr>Dezember!Monat.P7UeVM</vt:lpstr>
      <vt:lpstr>Februar!Monat.P7UeVM</vt:lpstr>
      <vt:lpstr>Januar!Monat.P7UeVM</vt:lpstr>
      <vt:lpstr>Juli!Monat.P7UeVM</vt:lpstr>
      <vt:lpstr>Juni!Monat.P7UeVM</vt:lpstr>
      <vt:lpstr>Mai!Monat.P7UeVM</vt:lpstr>
      <vt:lpstr>März!Monat.P7UeVM</vt:lpstr>
      <vt:lpstr>November!Monat.P7UeVM</vt:lpstr>
      <vt:lpstr>Oktober!Monat.P7UeVM</vt:lpstr>
      <vt:lpstr>September!Monat.P7UeVM</vt:lpstr>
      <vt:lpstr>April!Monat.P8UeVM</vt:lpstr>
      <vt:lpstr>August!Monat.P8UeVM</vt:lpstr>
      <vt:lpstr>Dezember!Monat.P8UeVM</vt:lpstr>
      <vt:lpstr>Februar!Monat.P8UeVM</vt:lpstr>
      <vt:lpstr>Januar!Monat.P8UeVM</vt:lpstr>
      <vt:lpstr>Juli!Monat.P8UeVM</vt:lpstr>
      <vt:lpstr>Juni!Monat.P8UeVM</vt:lpstr>
      <vt:lpstr>Mai!Monat.P8UeVM</vt:lpstr>
      <vt:lpstr>März!Monat.P8UeVM</vt:lpstr>
      <vt:lpstr>November!Monat.P8UeVM</vt:lpstr>
      <vt:lpstr>Oktober!Monat.P8UeVM</vt:lpstr>
      <vt:lpstr>September!Monat.P8UeVM</vt:lpstr>
      <vt:lpstr>April!Monat.P9UeVM</vt:lpstr>
      <vt:lpstr>August!Monat.P9UeVM</vt:lpstr>
      <vt:lpstr>Dezember!Monat.P9UeVM</vt:lpstr>
      <vt:lpstr>Februar!Monat.P9UeVM</vt:lpstr>
      <vt:lpstr>Januar!Monat.P9UeVM</vt:lpstr>
      <vt:lpstr>Juli!Monat.P9UeVM</vt:lpstr>
      <vt:lpstr>Juni!Monat.P9UeVM</vt:lpstr>
      <vt:lpstr>Mai!Monat.P9UeVM</vt:lpstr>
      <vt:lpstr>März!Monat.P9UeVM</vt:lpstr>
      <vt:lpstr>November!Monat.P9UeVM</vt:lpstr>
      <vt:lpstr>Oktober!Monat.P9UeVM</vt:lpstr>
      <vt:lpstr>September!Monat.P9UeVM</vt:lpstr>
      <vt:lpstr>April!Monat.PDiffUeVM</vt:lpstr>
      <vt:lpstr>August!Monat.PDiffUeVM</vt:lpstr>
      <vt:lpstr>Dezember!Monat.PDiffUeVM</vt:lpstr>
      <vt:lpstr>Februar!Monat.PDiffUeVM</vt:lpstr>
      <vt:lpstr>Januar!Monat.PDiffUeVM</vt:lpstr>
      <vt:lpstr>Juli!Monat.PDiffUeVM</vt:lpstr>
      <vt:lpstr>Juni!Monat.PDiffUeVM</vt:lpstr>
      <vt:lpstr>Mai!Monat.PDiffUeVM</vt:lpstr>
      <vt:lpstr>März!Monat.PDiffUeVM</vt:lpstr>
      <vt:lpstr>November!Monat.PDiffUeVM</vt:lpstr>
      <vt:lpstr>Oktober!Monat.PDiffUeVM</vt:lpstr>
      <vt:lpstr>September!Monat.PDiffUeVM</vt:lpstr>
      <vt:lpstr>April!Monat.Pikett</vt:lpstr>
      <vt:lpstr>August!Monat.Pikett</vt:lpstr>
      <vt:lpstr>Dezember!Monat.Pikett</vt:lpstr>
      <vt:lpstr>Februar!Monat.Pikett</vt:lpstr>
      <vt:lpstr>Januar!Monat.Pikett</vt:lpstr>
      <vt:lpstr>Juli!Monat.Pikett</vt:lpstr>
      <vt:lpstr>Juni!Monat.Pikett</vt:lpstr>
      <vt:lpstr>Mai!Monat.Pikett</vt:lpstr>
      <vt:lpstr>März!Monat.Pikett</vt:lpstr>
      <vt:lpstr>November!Monat.Pikett</vt:lpstr>
      <vt:lpstr>Oktober!Monat.Pikett</vt:lpstr>
      <vt:lpstr>September!Monat.Pikett</vt:lpstr>
      <vt:lpstr>April!Monat.Pikett.Zähler</vt:lpstr>
      <vt:lpstr>August!Monat.Pikett.Zähler</vt:lpstr>
      <vt:lpstr>Dezember!Monat.Pikett.Zähler</vt:lpstr>
      <vt:lpstr>Februar!Monat.Pikett.Zähler</vt:lpstr>
      <vt:lpstr>Januar!Monat.Pikett.Zähler</vt:lpstr>
      <vt:lpstr>Juli!Monat.Pikett.Zähler</vt:lpstr>
      <vt:lpstr>Juni!Monat.Pikett.Zähler</vt:lpstr>
      <vt:lpstr>Mai!Monat.Pikett.Zähler</vt:lpstr>
      <vt:lpstr>März!Monat.Pikett.Zähler</vt:lpstr>
      <vt:lpstr>November!Monat.Pikett.Zähler</vt:lpstr>
      <vt:lpstr>Oktober!Monat.Pikett.Zähler</vt:lpstr>
      <vt:lpstr>September!Monat.Pikett.Zähler</vt:lpstr>
      <vt:lpstr>April!Monat.PikettgesternTag1</vt:lpstr>
      <vt:lpstr>August!Monat.PikettgesternTag1</vt:lpstr>
      <vt:lpstr>Dezember!Monat.PikettgesternTag1</vt:lpstr>
      <vt:lpstr>Februar!Monat.PikettgesternTag1</vt:lpstr>
      <vt:lpstr>Januar!Monat.PikettgesternTag1</vt:lpstr>
      <vt:lpstr>Juli!Monat.PikettgesternTag1</vt:lpstr>
      <vt:lpstr>Juni!Monat.PikettgesternTag1</vt:lpstr>
      <vt:lpstr>Mai!Monat.PikettgesternTag1</vt:lpstr>
      <vt:lpstr>März!Monat.PikettgesternTag1</vt:lpstr>
      <vt:lpstr>November!Monat.PikettgesternTag1</vt:lpstr>
      <vt:lpstr>Oktober!Monat.PikettgesternTag1</vt:lpstr>
      <vt:lpstr>September!Monat.PikettgesternTag1</vt:lpstr>
      <vt:lpstr>April!Monat.PikettText</vt:lpstr>
      <vt:lpstr>August!Monat.PikettText</vt:lpstr>
      <vt:lpstr>Dezember!Monat.PikettText</vt:lpstr>
      <vt:lpstr>Februar!Monat.PikettText</vt:lpstr>
      <vt:lpstr>Januar!Monat.PikettText</vt:lpstr>
      <vt:lpstr>Juli!Monat.PikettText</vt:lpstr>
      <vt:lpstr>Juni!Monat.PikettText</vt:lpstr>
      <vt:lpstr>Mai!Monat.PikettText</vt:lpstr>
      <vt:lpstr>März!Monat.PikettText</vt:lpstr>
      <vt:lpstr>November!Monat.PikettText</vt:lpstr>
      <vt:lpstr>Oktober!Monat.PikettText</vt:lpstr>
      <vt:lpstr>September!Monat.PikettText</vt:lpstr>
      <vt:lpstr>April!Monat.Projekte.Zeilen</vt:lpstr>
      <vt:lpstr>August!Monat.Projekte.Zeilen</vt:lpstr>
      <vt:lpstr>Dezember!Monat.Projekte.Zeilen</vt:lpstr>
      <vt:lpstr>Februar!Monat.Projekte.Zeilen</vt:lpstr>
      <vt:lpstr>Januar!Monat.Projekte.Zeilen</vt:lpstr>
      <vt:lpstr>Juli!Monat.Projekte.Zeilen</vt:lpstr>
      <vt:lpstr>Juni!Monat.Projekte.Zeilen</vt:lpstr>
      <vt:lpstr>Mai!Monat.Projekte.Zeilen</vt:lpstr>
      <vt:lpstr>März!Monat.Projekte.Zeilen</vt:lpstr>
      <vt:lpstr>November!Monat.Projekte.Zeilen</vt:lpstr>
      <vt:lpstr>Oktober!Monat.Projekte.Zeilen</vt:lpstr>
      <vt:lpstr>September!Monat.Projekte.Zeilen</vt:lpstr>
      <vt:lpstr>April!Monat.ProjekteTotal.Bereich</vt:lpstr>
      <vt:lpstr>August!Monat.ProjekteTotal.Bereich</vt:lpstr>
      <vt:lpstr>Dezember!Monat.ProjekteTotal.Bereich</vt:lpstr>
      <vt:lpstr>Februar!Monat.ProjekteTotal.Bereich</vt:lpstr>
      <vt:lpstr>Januar!Monat.ProjekteTotal.Bereich</vt:lpstr>
      <vt:lpstr>Juli!Monat.ProjekteTotal.Bereich</vt:lpstr>
      <vt:lpstr>Juni!Monat.ProjekteTotal.Bereich</vt:lpstr>
      <vt:lpstr>Mai!Monat.ProjekteTotal.Bereich</vt:lpstr>
      <vt:lpstr>März!Monat.ProjekteTotal.Bereich</vt:lpstr>
      <vt:lpstr>November!Monat.ProjekteTotal.Bereich</vt:lpstr>
      <vt:lpstr>Oktober!Monat.ProjekteTotal.Bereich</vt:lpstr>
      <vt:lpstr>September!Monat.ProjekteTotal.Bereich</vt:lpstr>
      <vt:lpstr>April!Monat.PTotalUeVM</vt:lpstr>
      <vt:lpstr>August!Monat.PTotalUeVM</vt:lpstr>
      <vt:lpstr>Dezember!Monat.PTotalUeVM</vt:lpstr>
      <vt:lpstr>Februar!Monat.PTotalUeVM</vt:lpstr>
      <vt:lpstr>Januar!Monat.PTotalUeVM</vt:lpstr>
      <vt:lpstr>Juli!Monat.PTotalUeVM</vt:lpstr>
      <vt:lpstr>Juni!Monat.PTotalUeVM</vt:lpstr>
      <vt:lpstr>Mai!Monat.PTotalUeVM</vt:lpstr>
      <vt:lpstr>März!Monat.PTotalUeVM</vt:lpstr>
      <vt:lpstr>November!Monat.PTotalUeVM</vt:lpstr>
      <vt:lpstr>Oktober!Monat.PTotalUeVM</vt:lpstr>
      <vt:lpstr>September!Monat.PTotalUeVM</vt:lpstr>
      <vt:lpstr>April!Monat.RAZ1_7.Bereich</vt:lpstr>
      <vt:lpstr>August!Monat.RAZ1_7.Bereich</vt:lpstr>
      <vt:lpstr>Dezember!Monat.RAZ1_7.Bereich</vt:lpstr>
      <vt:lpstr>Februar!Monat.RAZ1_7.Bereich</vt:lpstr>
      <vt:lpstr>Januar!Monat.RAZ1_7.Bereich</vt:lpstr>
      <vt:lpstr>Juli!Monat.RAZ1_7.Bereich</vt:lpstr>
      <vt:lpstr>Juni!Monat.RAZ1_7.Bereich</vt:lpstr>
      <vt:lpstr>Mai!Monat.RAZ1_7.Bereich</vt:lpstr>
      <vt:lpstr>März!Monat.RAZ1_7.Bereich</vt:lpstr>
      <vt:lpstr>November!Monat.RAZ1_7.Bereich</vt:lpstr>
      <vt:lpstr>Oktober!Monat.RAZ1_7.Bereich</vt:lpstr>
      <vt:lpstr>September!Monat.RAZ1_7.Bereich</vt:lpstr>
      <vt:lpstr>April!Monat.SD.Total</vt:lpstr>
      <vt:lpstr>August!Monat.SD.Total</vt:lpstr>
      <vt:lpstr>Dezember!Monat.SD.Total</vt:lpstr>
      <vt:lpstr>Februar!Monat.SD.Total</vt:lpstr>
      <vt:lpstr>Januar!Monat.SD.Total</vt:lpstr>
      <vt:lpstr>Juli!Monat.SD.Total</vt:lpstr>
      <vt:lpstr>Juni!Monat.SD.Total</vt:lpstr>
      <vt:lpstr>Mai!Monat.SD.Total</vt:lpstr>
      <vt:lpstr>März!Monat.SD.Total</vt:lpstr>
      <vt:lpstr>November!Monat.SD.Total</vt:lpstr>
      <vt:lpstr>Oktober!Monat.SD.Total</vt:lpstr>
      <vt:lpstr>September!Monat.SD.Total</vt:lpstr>
      <vt:lpstr>April!Monat.SDText</vt:lpstr>
      <vt:lpstr>August!Monat.SDText</vt:lpstr>
      <vt:lpstr>Dezember!Monat.SDText</vt:lpstr>
      <vt:lpstr>Februar!Monat.SDText</vt:lpstr>
      <vt:lpstr>Januar!Monat.SDText</vt:lpstr>
      <vt:lpstr>Juli!Monat.SDText</vt:lpstr>
      <vt:lpstr>Juni!Monat.SDText</vt:lpstr>
      <vt:lpstr>Mai!Monat.SDText</vt:lpstr>
      <vt:lpstr>März!Monat.SDText</vt:lpstr>
      <vt:lpstr>November!Monat.SDText</vt:lpstr>
      <vt:lpstr>Oktober!Monat.SDText</vt:lpstr>
      <vt:lpstr>September!Monat.SDText</vt:lpstr>
      <vt:lpstr>April!Monat.SDUeVM</vt:lpstr>
      <vt:lpstr>August!Monat.SDUeVM</vt:lpstr>
      <vt:lpstr>Dezember!Monat.SDUeVM</vt:lpstr>
      <vt:lpstr>Februar!Monat.SDUeVM</vt:lpstr>
      <vt:lpstr>Januar!Monat.SDUeVM</vt:lpstr>
      <vt:lpstr>Juli!Monat.SDUeVM</vt:lpstr>
      <vt:lpstr>Juni!Monat.SDUeVM</vt:lpstr>
      <vt:lpstr>Mai!Monat.SDUeVM</vt:lpstr>
      <vt:lpstr>März!Monat.SDUeVM</vt:lpstr>
      <vt:lpstr>November!Monat.SDUeVM</vt:lpstr>
      <vt:lpstr>Oktober!Monat.SDUeVM</vt:lpstr>
      <vt:lpstr>September!Monat.SDUeVM</vt:lpstr>
      <vt:lpstr>April!Monat.Soll_Ist_UeVM</vt:lpstr>
      <vt:lpstr>August!Monat.Soll_Ist_UeVM</vt:lpstr>
      <vt:lpstr>Dezember!Monat.Soll_Ist_UeVM</vt:lpstr>
      <vt:lpstr>Februar!Monat.Soll_Ist_UeVM</vt:lpstr>
      <vt:lpstr>Januar!Monat.Soll_Ist_UeVM</vt:lpstr>
      <vt:lpstr>Juli!Monat.Soll_Ist_UeVM</vt:lpstr>
      <vt:lpstr>Juni!Monat.Soll_Ist_UeVM</vt:lpstr>
      <vt:lpstr>Mai!Monat.Soll_Ist_UeVM</vt:lpstr>
      <vt:lpstr>März!Monat.Soll_Ist_UeVM</vt:lpstr>
      <vt:lpstr>November!Monat.Soll_Ist_UeVM</vt:lpstr>
      <vt:lpstr>Oktober!Monat.Soll_Ist_UeVM</vt:lpstr>
      <vt:lpstr>September!Monat.Soll_Ist_UeVM</vt:lpstr>
      <vt:lpstr>April!Monat.Tag1</vt:lpstr>
      <vt:lpstr>August!Monat.Tag1</vt:lpstr>
      <vt:lpstr>Dezember!Monat.Tag1</vt:lpstr>
      <vt:lpstr>Februar!Monat.Tag1</vt:lpstr>
      <vt:lpstr>Januar!Monat.Tag1</vt:lpstr>
      <vt:lpstr>Juli!Monat.Tag1</vt:lpstr>
      <vt:lpstr>Juni!Monat.Tag1</vt:lpstr>
      <vt:lpstr>Mai!Monat.Tag1</vt:lpstr>
      <vt:lpstr>März!Monat.Tag1</vt:lpstr>
      <vt:lpstr>November!Monat.Tag1</vt:lpstr>
      <vt:lpstr>Oktober!Monat.Tag1</vt:lpstr>
      <vt:lpstr>September!Monat.Tag1</vt:lpstr>
      <vt:lpstr>April!Monat.Tage.Knoten</vt:lpstr>
      <vt:lpstr>August!Monat.Tage.Knoten</vt:lpstr>
      <vt:lpstr>Dezember!Monat.Tage.Knoten</vt:lpstr>
      <vt:lpstr>Februar!Monat.Tage.Knoten</vt:lpstr>
      <vt:lpstr>Januar!Monat.Tage.Knoten</vt:lpstr>
      <vt:lpstr>Juli!Monat.Tage.Knoten</vt:lpstr>
      <vt:lpstr>Juni!Monat.Tage.Knoten</vt:lpstr>
      <vt:lpstr>Mai!Monat.Tage.Knoten</vt:lpstr>
      <vt:lpstr>März!Monat.Tage.Knoten</vt:lpstr>
      <vt:lpstr>November!Monat.Tage.Knoten</vt:lpstr>
      <vt:lpstr>Oktober!Monat.Tage.Knoten</vt:lpstr>
      <vt:lpstr>September!Monat.Tage.Knoten</vt:lpstr>
      <vt:lpstr>April!Monat.UeZ.Saldo</vt:lpstr>
      <vt:lpstr>August!Monat.UeZ.Saldo</vt:lpstr>
      <vt:lpstr>Dezember!Monat.UeZ.Saldo</vt:lpstr>
      <vt:lpstr>Februar!Monat.UeZ.Saldo</vt:lpstr>
      <vt:lpstr>Januar!Monat.UeZ.Saldo</vt:lpstr>
      <vt:lpstr>Juli!Monat.UeZ.Saldo</vt:lpstr>
      <vt:lpstr>Juni!Monat.UeZ.Saldo</vt:lpstr>
      <vt:lpstr>Mai!Monat.UeZ.Saldo</vt:lpstr>
      <vt:lpstr>März!Monat.UeZ.Saldo</vt:lpstr>
      <vt:lpstr>November!Monat.UeZ.Saldo</vt:lpstr>
      <vt:lpstr>Oktober!Monat.UeZ.Saldo</vt:lpstr>
      <vt:lpstr>September!Monat.UeZ.Saldo</vt:lpstr>
      <vt:lpstr>April!Monat.UeZ.Total</vt:lpstr>
      <vt:lpstr>August!Monat.UeZ.Total</vt:lpstr>
      <vt:lpstr>Dezember!Monat.UeZ.Total</vt:lpstr>
      <vt:lpstr>Februar!Monat.UeZ.Total</vt:lpstr>
      <vt:lpstr>Januar!Monat.UeZ.Total</vt:lpstr>
      <vt:lpstr>Juli!Monat.UeZ.Total</vt:lpstr>
      <vt:lpstr>Juni!Monat.UeZ.Total</vt:lpstr>
      <vt:lpstr>Mai!Monat.UeZ.Total</vt:lpstr>
      <vt:lpstr>März!Monat.UeZ.Total</vt:lpstr>
      <vt:lpstr>November!Monat.UeZ.Total</vt:lpstr>
      <vt:lpstr>Oktober!Monat.UeZ.Total</vt:lpstr>
      <vt:lpstr>September!Monat.UeZ.Total</vt:lpstr>
      <vt:lpstr>April!Monat.UeziZSText</vt:lpstr>
      <vt:lpstr>August!Monat.UeziZSText</vt:lpstr>
      <vt:lpstr>Dezember!Monat.UeziZSText</vt:lpstr>
      <vt:lpstr>Februar!Monat.UeziZSText</vt:lpstr>
      <vt:lpstr>Januar!Monat.UeziZSText</vt:lpstr>
      <vt:lpstr>Juli!Monat.UeziZSText</vt:lpstr>
      <vt:lpstr>Juni!Monat.UeziZSText</vt:lpstr>
      <vt:lpstr>Mai!Monat.UeziZSText</vt:lpstr>
      <vt:lpstr>März!Monat.UeziZSText</vt:lpstr>
      <vt:lpstr>November!Monat.UeziZSText</vt:lpstr>
      <vt:lpstr>Oktober!Monat.UeziZSText</vt:lpstr>
      <vt:lpstr>September!Monat.UeziZSText</vt:lpstr>
      <vt:lpstr>April!Monat.UeZSaldoText</vt:lpstr>
      <vt:lpstr>August!Monat.UeZSaldoText</vt:lpstr>
      <vt:lpstr>Dezember!Monat.UeZSaldoText</vt:lpstr>
      <vt:lpstr>Februar!Monat.UeZSaldoText</vt:lpstr>
      <vt:lpstr>Januar!Monat.UeZSaldoText</vt:lpstr>
      <vt:lpstr>Juli!Monat.UeZSaldoText</vt:lpstr>
      <vt:lpstr>Juni!Monat.UeZSaldoText</vt:lpstr>
      <vt:lpstr>Mai!Monat.UeZSaldoText</vt:lpstr>
      <vt:lpstr>März!Monat.UeZSaldoText</vt:lpstr>
      <vt:lpstr>November!Monat.UeZSaldoText</vt:lpstr>
      <vt:lpstr>Oktober!Monat.UeZSaldoText</vt:lpstr>
      <vt:lpstr>September!Monat.UeZSaldoText</vt:lpstr>
      <vt:lpstr>April!Monat.UeZUeVM</vt:lpstr>
      <vt:lpstr>August!Monat.UeZUeVM</vt:lpstr>
      <vt:lpstr>Dezember!Monat.UeZUeVM</vt:lpstr>
      <vt:lpstr>Februar!Monat.UeZUeVM</vt:lpstr>
      <vt:lpstr>Januar!Monat.UeZUeVM</vt:lpstr>
      <vt:lpstr>Juli!Monat.UeZUeVM</vt:lpstr>
      <vt:lpstr>Juni!Monat.UeZUeVM</vt:lpstr>
      <vt:lpstr>Mai!Monat.UeZUeVM</vt:lpstr>
      <vt:lpstr>März!Monat.UeZUeVM</vt:lpstr>
      <vt:lpstr>November!Monat.UeZUeVM</vt:lpstr>
      <vt:lpstr>Oktober!Monat.UeZUeVM</vt:lpstr>
      <vt:lpstr>September!Monat.UeZUeVM</vt:lpstr>
      <vt:lpstr>April!Monat.UnbesU.Total</vt:lpstr>
      <vt:lpstr>August!Monat.UnbesU.Total</vt:lpstr>
      <vt:lpstr>Dezember!Monat.UnbesU.Total</vt:lpstr>
      <vt:lpstr>Februar!Monat.UnbesU.Total</vt:lpstr>
      <vt:lpstr>Januar!Monat.UnbesU.Total</vt:lpstr>
      <vt:lpstr>Juli!Monat.UnbesU.Total</vt:lpstr>
      <vt:lpstr>Juni!Monat.UnbesU.Total</vt:lpstr>
      <vt:lpstr>Mai!Monat.UnbesU.Total</vt:lpstr>
      <vt:lpstr>März!Monat.UnbesU.Total</vt:lpstr>
      <vt:lpstr>November!Monat.UnbesU.Total</vt:lpstr>
      <vt:lpstr>Oktober!Monat.UnbesU.Total</vt:lpstr>
      <vt:lpstr>September!Monat.UnbesU.Total</vt:lpstr>
      <vt:lpstr>April!Monat.UnbesUrlaubText</vt:lpstr>
      <vt:lpstr>August!Monat.UnbesUrlaubText</vt:lpstr>
      <vt:lpstr>Dezember!Monat.UnbesUrlaubText</vt:lpstr>
      <vt:lpstr>Februar!Monat.UnbesUrlaubText</vt:lpstr>
      <vt:lpstr>Januar!Monat.UnbesUrlaubText</vt:lpstr>
      <vt:lpstr>Juli!Monat.UnbesUrlaubText</vt:lpstr>
      <vt:lpstr>Juni!Monat.UnbesUrlaubText</vt:lpstr>
      <vt:lpstr>Mai!Monat.UnbesUrlaubText</vt:lpstr>
      <vt:lpstr>März!Monat.UnbesUrlaubText</vt:lpstr>
      <vt:lpstr>November!Monat.UnbesUrlaubText</vt:lpstr>
      <vt:lpstr>Oktober!Monat.UnbesUrlaubText</vt:lpstr>
      <vt:lpstr>September!Monat.UnbesUrlaubText</vt:lpstr>
      <vt:lpstr>April!Monat.UnbesUrlaubUeVM</vt:lpstr>
      <vt:lpstr>August!Monat.UnbesUrlaubUeVM</vt:lpstr>
      <vt:lpstr>Dezember!Monat.UnbesUrlaubUeVM</vt:lpstr>
      <vt:lpstr>Februar!Monat.UnbesUrlaubUeVM</vt:lpstr>
      <vt:lpstr>Januar!Monat.UnbesUrlaubUeVM</vt:lpstr>
      <vt:lpstr>Juli!Monat.UnbesUrlaubUeVM</vt:lpstr>
      <vt:lpstr>Juni!Monat.UnbesUrlaubUeVM</vt:lpstr>
      <vt:lpstr>Mai!Monat.UnbesUrlaubUeVM</vt:lpstr>
      <vt:lpstr>März!Monat.UnbesUrlaubUeVM</vt:lpstr>
      <vt:lpstr>November!Monat.UnbesUrlaubUeVM</vt:lpstr>
      <vt:lpstr>Oktober!Monat.UnbesUrlaubUeVM</vt:lpstr>
      <vt:lpstr>September!Monat.UnbesUrlaubUeVM</vt:lpstr>
      <vt:lpstr>April!Monat.ÜZZSBerechtigt</vt:lpstr>
      <vt:lpstr>August!Monat.ÜZZSBerechtigt</vt:lpstr>
      <vt:lpstr>Dezember!Monat.ÜZZSBerechtigt</vt:lpstr>
      <vt:lpstr>Februar!Monat.ÜZZSBerechtigt</vt:lpstr>
      <vt:lpstr>Januar!Monat.ÜZZSBerechtigt</vt:lpstr>
      <vt:lpstr>Juli!Monat.ÜZZSBerechtigt</vt:lpstr>
      <vt:lpstr>Juni!Monat.ÜZZSBerechtigt</vt:lpstr>
      <vt:lpstr>Mai!Monat.ÜZZSBerechtigt</vt:lpstr>
      <vt:lpstr>März!Monat.ÜZZSBerechtigt</vt:lpstr>
      <vt:lpstr>November!Monat.ÜZZSBerechtigt</vt:lpstr>
      <vt:lpstr>Oktober!Monat.ÜZZSBerechtigt</vt:lpstr>
      <vt:lpstr>September!Monat.ÜZZSBerechtigt</vt:lpstr>
      <vt:lpstr>April!Monat.WB.Total</vt:lpstr>
      <vt:lpstr>August!Monat.WB.Total</vt:lpstr>
      <vt:lpstr>Dezember!Monat.WB.Total</vt:lpstr>
      <vt:lpstr>Februar!Monat.WB.Total</vt:lpstr>
      <vt:lpstr>Januar!Monat.WB.Total</vt:lpstr>
      <vt:lpstr>Juli!Monat.WB.Total</vt:lpstr>
      <vt:lpstr>Juni!Monat.WB.Total</vt:lpstr>
      <vt:lpstr>Mai!Monat.WB.Total</vt:lpstr>
      <vt:lpstr>März!Monat.WB.Total</vt:lpstr>
      <vt:lpstr>November!Monat.WB.Total</vt:lpstr>
      <vt:lpstr>Oktober!Monat.WB.Total</vt:lpstr>
      <vt:lpstr>September!Monat.WB.Total</vt:lpstr>
      <vt:lpstr>April!Monat.WBText</vt:lpstr>
      <vt:lpstr>August!Monat.WBText</vt:lpstr>
      <vt:lpstr>Dezember!Monat.WBText</vt:lpstr>
      <vt:lpstr>Februar!Monat.WBText</vt:lpstr>
      <vt:lpstr>Januar!Monat.WBText</vt:lpstr>
      <vt:lpstr>Juli!Monat.WBText</vt:lpstr>
      <vt:lpstr>Juni!Monat.WBText</vt:lpstr>
      <vt:lpstr>Mai!Monat.WBText</vt:lpstr>
      <vt:lpstr>März!Monat.WBText</vt:lpstr>
      <vt:lpstr>November!Monat.WBText</vt:lpstr>
      <vt:lpstr>Oktober!Monat.WBText</vt:lpstr>
      <vt:lpstr>September!Monat.WBText</vt:lpstr>
      <vt:lpstr>April!Monat.WBUeVM</vt:lpstr>
      <vt:lpstr>August!Monat.WBUeVM</vt:lpstr>
      <vt:lpstr>Dezember!Monat.WBUeVM</vt:lpstr>
      <vt:lpstr>Februar!Monat.WBUeVM</vt:lpstr>
      <vt:lpstr>Januar!Monat.WBUeVM</vt:lpstr>
      <vt:lpstr>Juli!Monat.WBUeVM</vt:lpstr>
      <vt:lpstr>Juni!Monat.WBUeVM</vt:lpstr>
      <vt:lpstr>Mai!Monat.WBUeVM</vt:lpstr>
      <vt:lpstr>März!Monat.WBUeVM</vt:lpstr>
      <vt:lpstr>November!Monat.WBUeVM</vt:lpstr>
      <vt:lpstr>Oktober!Monat.WBUeVM</vt:lpstr>
      <vt:lpstr>September!Monat.WBUeVM</vt:lpstr>
      <vt:lpstr>April!Monat.Wochentage.Bereich</vt:lpstr>
      <vt:lpstr>August!Monat.Wochentage.Bereich</vt:lpstr>
      <vt:lpstr>Dezember!Monat.Wochentage.Bereich</vt:lpstr>
      <vt:lpstr>Februar!Monat.Wochentage.Bereich</vt:lpstr>
      <vt:lpstr>Januar!Monat.Wochentage.Bereich</vt:lpstr>
      <vt:lpstr>Juli!Monat.Wochentage.Bereich</vt:lpstr>
      <vt:lpstr>Juni!Monat.Wochentage.Bereich</vt:lpstr>
      <vt:lpstr>Mai!Monat.Wochentage.Bereich</vt:lpstr>
      <vt:lpstr>März!Monat.Wochentage.Bereich</vt:lpstr>
      <vt:lpstr>November!Monat.Wochentage.Bereich</vt:lpstr>
      <vt:lpstr>Oktober!Monat.Wochentage.Bereich</vt:lpstr>
      <vt:lpstr>September!Monat.Wochentage.Bereich</vt:lpstr>
      <vt:lpstr>April!Monat.ZählerND.Total</vt:lpstr>
      <vt:lpstr>August!Monat.ZählerND.Total</vt:lpstr>
      <vt:lpstr>Dezember!Monat.ZählerND.Total</vt:lpstr>
      <vt:lpstr>Februar!Monat.ZählerND.Total</vt:lpstr>
      <vt:lpstr>Januar!Monat.ZählerND.Total</vt:lpstr>
      <vt:lpstr>Juli!Monat.ZählerND.Total</vt:lpstr>
      <vt:lpstr>Juni!Monat.ZählerND.Total</vt:lpstr>
      <vt:lpstr>Mai!Monat.ZählerND.Total</vt:lpstr>
      <vt:lpstr>März!Monat.ZählerND.Total</vt:lpstr>
      <vt:lpstr>November!Monat.ZählerND.Total</vt:lpstr>
      <vt:lpstr>Oktober!Monat.ZählerND.Total</vt:lpstr>
      <vt:lpstr>September!Monat.ZählerND.Total</vt:lpstr>
      <vt:lpstr>April!Monat.ZählerNDText</vt:lpstr>
      <vt:lpstr>August!Monat.ZählerNDText</vt:lpstr>
      <vt:lpstr>Dezember!Monat.ZählerNDText</vt:lpstr>
      <vt:lpstr>Februar!Monat.ZählerNDText</vt:lpstr>
      <vt:lpstr>Januar!Monat.ZählerNDText</vt:lpstr>
      <vt:lpstr>Juli!Monat.ZählerNDText</vt:lpstr>
      <vt:lpstr>Juni!Monat.ZählerNDText</vt:lpstr>
      <vt:lpstr>Mai!Monat.ZählerNDText</vt:lpstr>
      <vt:lpstr>März!Monat.ZählerNDText</vt:lpstr>
      <vt:lpstr>November!Monat.ZählerNDText</vt:lpstr>
      <vt:lpstr>Oktober!Monat.ZählerNDText</vt:lpstr>
      <vt:lpstr>September!Monat.ZählerNDText</vt:lpstr>
      <vt:lpstr>April!Monat.ZählerNDUe</vt:lpstr>
      <vt:lpstr>August!Monat.ZählerNDUe</vt:lpstr>
      <vt:lpstr>Dezember!Monat.ZählerNDUe</vt:lpstr>
      <vt:lpstr>Februar!Monat.ZählerNDUe</vt:lpstr>
      <vt:lpstr>Januar!Monat.ZählerNDUe</vt:lpstr>
      <vt:lpstr>Juli!Monat.ZählerNDUe</vt:lpstr>
      <vt:lpstr>Juni!Monat.ZählerNDUe</vt:lpstr>
      <vt:lpstr>Mai!Monat.ZählerNDUe</vt:lpstr>
      <vt:lpstr>März!Monat.ZählerNDUe</vt:lpstr>
      <vt:lpstr>November!Monat.ZählerNDUe</vt:lpstr>
      <vt:lpstr>Oktober!Monat.ZählerNDUe</vt:lpstr>
      <vt:lpstr>September!Monat.ZählerNDUe</vt:lpstr>
      <vt:lpstr>April!Monat.ZS.Total</vt:lpstr>
      <vt:lpstr>August!Monat.ZS.Total</vt:lpstr>
      <vt:lpstr>Dezember!Monat.ZS.Total</vt:lpstr>
      <vt:lpstr>Februar!Monat.ZS.Total</vt:lpstr>
      <vt:lpstr>Januar!Monat.ZS.Total</vt:lpstr>
      <vt:lpstr>Juli!Monat.ZS.Total</vt:lpstr>
      <vt:lpstr>Juni!Monat.ZS.Total</vt:lpstr>
      <vt:lpstr>Mai!Monat.ZS.Total</vt:lpstr>
      <vt:lpstr>März!Monat.ZS.Total</vt:lpstr>
      <vt:lpstr>November!Monat.ZS.Total</vt:lpstr>
      <vt:lpstr>Oktober!Monat.ZS.Total</vt:lpstr>
      <vt:lpstr>September!Monat.ZS.Total</vt:lpstr>
      <vt:lpstr>April!Monat.ZSText</vt:lpstr>
      <vt:lpstr>August!Monat.ZSText</vt:lpstr>
      <vt:lpstr>Dezember!Monat.ZSText</vt:lpstr>
      <vt:lpstr>Februar!Monat.ZSText</vt:lpstr>
      <vt:lpstr>Januar!Monat.ZSText</vt:lpstr>
      <vt:lpstr>Juli!Monat.ZSText</vt:lpstr>
      <vt:lpstr>Juni!Monat.ZSText</vt:lpstr>
      <vt:lpstr>Mai!Monat.ZSText</vt:lpstr>
      <vt:lpstr>März!Monat.ZSText</vt:lpstr>
      <vt:lpstr>November!Monat.ZSText</vt:lpstr>
      <vt:lpstr>Oktober!Monat.ZSText</vt:lpstr>
      <vt:lpstr>September!Monat.ZSText</vt:lpstr>
      <vt:lpstr>April!Monat.ZUeZ.Total</vt:lpstr>
      <vt:lpstr>August!Monat.ZUeZ.Total</vt:lpstr>
      <vt:lpstr>Dezember!Monat.ZUeZ.Total</vt:lpstr>
      <vt:lpstr>Februar!Monat.ZUeZ.Total</vt:lpstr>
      <vt:lpstr>Januar!Monat.ZUeZ.Total</vt:lpstr>
      <vt:lpstr>Juli!Monat.ZUeZ.Total</vt:lpstr>
      <vt:lpstr>Juni!Monat.ZUeZ.Total</vt:lpstr>
      <vt:lpstr>Mai!Monat.ZUeZ.Total</vt:lpstr>
      <vt:lpstr>März!Monat.ZUeZ.Total</vt:lpstr>
      <vt:lpstr>November!Monat.ZUeZ.Total</vt:lpstr>
      <vt:lpstr>Oktober!Monat.ZUeZ.Total</vt:lpstr>
      <vt:lpstr>September!Monat.ZUeZ.Total</vt:lpstr>
      <vt:lpstr>April!Monat.ZZNdUe</vt:lpstr>
      <vt:lpstr>August!Monat.ZZNdUe</vt:lpstr>
      <vt:lpstr>Dezember!Monat.ZZNdUe</vt:lpstr>
      <vt:lpstr>Februar!Monat.ZZNdUe</vt:lpstr>
      <vt:lpstr>Januar!Monat.ZZNdUe</vt:lpstr>
      <vt:lpstr>Juli!Monat.ZZNdUe</vt:lpstr>
      <vt:lpstr>Juni!Monat.ZZNdUe</vt:lpstr>
      <vt:lpstr>Mai!Monat.ZZNdUe</vt:lpstr>
      <vt:lpstr>März!Monat.ZZNdUe</vt:lpstr>
      <vt:lpstr>November!Monat.ZZNdUe</vt:lpstr>
      <vt:lpstr>Oktober!Monat.ZZNdUe</vt:lpstr>
      <vt:lpstr>September!Monat.ZZNdUe</vt:lpstr>
      <vt:lpstr>April!Monat.ZZSND.Total</vt:lpstr>
      <vt:lpstr>August!Monat.ZZSND.Total</vt:lpstr>
      <vt:lpstr>Dezember!Monat.ZZSND.Total</vt:lpstr>
      <vt:lpstr>Februar!Monat.ZZSND.Total</vt:lpstr>
      <vt:lpstr>Januar!Monat.ZZSND.Total</vt:lpstr>
      <vt:lpstr>Juli!Monat.ZZSND.Total</vt:lpstr>
      <vt:lpstr>Juni!Monat.ZZSND.Total</vt:lpstr>
      <vt:lpstr>Mai!Monat.ZZSND.Total</vt:lpstr>
      <vt:lpstr>März!Monat.ZZSND.Total</vt:lpstr>
      <vt:lpstr>November!Monat.ZZSND.Total</vt:lpstr>
      <vt:lpstr>Oktober!Monat.ZZSND.Total</vt:lpstr>
      <vt:lpstr>September!Monat.ZZSND.Total</vt:lpstr>
      <vt:lpstr>April!Monat.ZZSNDText</vt:lpstr>
      <vt:lpstr>August!Monat.ZZSNDText</vt:lpstr>
      <vt:lpstr>Dezember!Monat.ZZSNDText</vt:lpstr>
      <vt:lpstr>Februar!Monat.ZZSNDText</vt:lpstr>
      <vt:lpstr>Januar!Monat.ZZSNDText</vt:lpstr>
      <vt:lpstr>Juli!Monat.ZZSNDText</vt:lpstr>
      <vt:lpstr>Juni!Monat.ZZSNDText</vt:lpstr>
      <vt:lpstr>Mai!Monat.ZZSNDText</vt:lpstr>
      <vt:lpstr>März!Monat.ZZSNDText</vt:lpstr>
      <vt:lpstr>November!Monat.ZZSNDText</vt:lpstr>
      <vt:lpstr>Oktober!Monat.ZZSNDText</vt:lpstr>
      <vt:lpstr>September!Monat.ZZSNDText</vt:lpstr>
      <vt:lpstr>PUE.Knoten</vt:lpstr>
      <vt:lpstr>PUE.Monate.Bereich</vt:lpstr>
      <vt:lpstr>PUE.ProjektartName.Bereich</vt:lpstr>
      <vt:lpstr>PUE.Projektauslastung.Knoten</vt:lpstr>
      <vt:lpstr>PUE.Summe.Knoten</vt:lpstr>
      <vt:lpstr>PUEEQ.DiffProdStd.Knoten</vt:lpstr>
      <vt:lpstr>PUEEQ.Knoten</vt:lpstr>
      <vt:lpstr>PUEEQ.Monate.Bereich</vt:lpstr>
      <vt:lpstr>PUEEQ.Projektauslastung.Knoten</vt:lpstr>
      <vt:lpstr>PUEEQ.SollProdStd.Knoten</vt:lpstr>
      <vt:lpstr>PUEEQ.SumTot.Knoten</vt:lpstr>
      <vt:lpstr>PUEEQ.TotProdStd.Knoten</vt:lpstr>
      <vt:lpstr>T.50_NoVetsuisse</vt:lpstr>
      <vt:lpstr>T.50_Vetsuisse</vt:lpstr>
      <vt:lpstr>T.50_VetsuisseZZSND</vt:lpstr>
      <vt:lpstr>T.Abendab</vt:lpstr>
      <vt:lpstr>T.Abendbis</vt:lpstr>
      <vt:lpstr>T.Abfragewerte.Knoten</vt:lpstr>
      <vt:lpstr>T.AngÜZ50_Vetsuisse_orange</vt:lpstr>
      <vt:lpstr>T.AnzAbfragewerte</vt:lpstr>
      <vt:lpstr>T.AnzDefinierteAbfragen</vt:lpstr>
      <vt:lpstr>T.AnzDefinierteZeiten</vt:lpstr>
      <vt:lpstr>T.AnzFakultaet</vt:lpstr>
      <vt:lpstr>T.AnzFeiertage</vt:lpstr>
      <vt:lpstr>T.AnzFrei_Tage</vt:lpstr>
      <vt:lpstr>T.AnzJaNein</vt:lpstr>
      <vt:lpstr>T.AnzPersonalkategorie</vt:lpstr>
      <vt:lpstr>T.AnzPikett</vt:lpstr>
      <vt:lpstr>T.AnzProdStunden</vt:lpstr>
      <vt:lpstr>T.AnzProjektart</vt:lpstr>
      <vt:lpstr>T.AnzProjektartName</vt:lpstr>
      <vt:lpstr>T.AnzWeitereAngaben</vt:lpstr>
      <vt:lpstr>T.AnzWochenarbeitszeit</vt:lpstr>
      <vt:lpstr>T.BWFFeriensaldo</vt:lpstr>
      <vt:lpstr>T.DefinierteAbfragen</vt:lpstr>
      <vt:lpstr>T.DefinierteAbfragen.Knoten</vt:lpstr>
      <vt:lpstr>T.DefinierteAbfragenZZSND.Knoten</vt:lpstr>
      <vt:lpstr>T.DefinierteZeilen.Knoten</vt:lpstr>
      <vt:lpstr>T.DefinierteZeitab.Knoten</vt:lpstr>
      <vt:lpstr>T.DefinierteZeitbis.Knoten</vt:lpstr>
      <vt:lpstr>T.Fakultaet.Knoten</vt:lpstr>
      <vt:lpstr>T.Feiertage.Knoten</vt:lpstr>
      <vt:lpstr>T.Frei_Tage.Knoten</vt:lpstr>
      <vt:lpstr>T.GrenzeAngÜZ50_Vetsuisse</vt:lpstr>
      <vt:lpstr>T.JaNein.Knoten</vt:lpstr>
      <vt:lpstr>T.MedizinischeMikrobiologie</vt:lpstr>
      <vt:lpstr>T.MedizinischeMikrobiologieZZSND</vt:lpstr>
      <vt:lpstr>T.Nachtab</vt:lpstr>
      <vt:lpstr>T.Nachtbis</vt:lpstr>
      <vt:lpstr>T.Personalkategorie.Knoten</vt:lpstr>
      <vt:lpstr>T.Pikett.Knoten</vt:lpstr>
      <vt:lpstr>T.PikettVetsuissebis</vt:lpstr>
      <vt:lpstr>T.ProdStunden.Knoten</vt:lpstr>
      <vt:lpstr>T.Projektart.Knoten</vt:lpstr>
      <vt:lpstr>T.ProjektartName.Knoten</vt:lpstr>
      <vt:lpstr>T.ServiceCenterIrchel</vt:lpstr>
      <vt:lpstr>T.ServiceCenterIrchelZZSND</vt:lpstr>
      <vt:lpstr>T.WeitereAngaben.Knoten</vt:lpstr>
      <vt:lpstr>T.Wochenarbeitszeit.Knoten</vt:lpstr>
    </vt:vector>
  </TitlesOfParts>
  <Company>----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Wolfensberger;joel.ducommun@abraxas.ch;peter.vonballmoos@parzung.ch</dc:creator>
  <cp:lastModifiedBy>Peter von Ballmoos</cp:lastModifiedBy>
  <cp:lastPrinted>2018-11-22T08:18:59Z</cp:lastPrinted>
  <dcterms:created xsi:type="dcterms:W3CDTF">2005-10-03T07:19:09Z</dcterms:created>
  <dcterms:modified xsi:type="dcterms:W3CDTF">2021-12-06T07:50:23Z</dcterms:modified>
</cp:coreProperties>
</file>